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под биллинг\Desktop\"/>
    </mc:Choice>
  </mc:AlternateContent>
  <workbookProtection workbookPassword="EDC7" lockStructure="1"/>
  <bookViews>
    <workbookView xWindow="0" yWindow="0" windowWidth="15348" windowHeight="3732"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связи'!$A$1:$D$71</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связи'!$G$5:$G$88</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связи'!$B$2:$E$78</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5" i="5" l="1"/>
  <c r="E10" i="16" l="1"/>
  <c r="E140" i="5" l="1"/>
  <c r="F284" i="5"/>
  <c r="E284" i="5"/>
  <c r="D247" i="5" l="1"/>
  <c r="D249" i="5"/>
  <c r="D246" i="5"/>
  <c r="F245" i="5"/>
  <c r="E219" i="5"/>
  <c r="F219"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E236" i="5" l="1"/>
  <c r="AA56" i="15" l="1"/>
  <c r="AA55" i="15"/>
  <c r="AA44" i="15"/>
  <c r="AA49" i="15"/>
  <c r="J35" i="15"/>
  <c r="H35" i="15" s="1"/>
  <c r="A49" i="15" l="1"/>
  <c r="AD49" i="15" s="1"/>
  <c r="A55" i="15"/>
  <c r="AD55" i="15" s="1"/>
  <c r="A44" i="15"/>
  <c r="AD44" i="15" s="1"/>
  <c r="A56" i="15"/>
  <c r="AD56" i="15" s="1"/>
  <c r="E6" i="16" l="1"/>
  <c r="D33" i="16" s="1"/>
  <c r="F13" i="5" l="1"/>
  <c r="F12" i="5" l="1"/>
  <c r="F63" i="5" l="1"/>
  <c r="F50" i="5"/>
  <c r="H56" i="15" l="1"/>
  <c r="H58" i="15"/>
  <c r="H55" i="15"/>
  <c r="H52" i="15"/>
  <c r="H50" i="15"/>
  <c r="H49" i="15"/>
  <c r="H48" i="15"/>
  <c r="H45" i="15"/>
  <c r="H44" i="15"/>
  <c r="H43" i="15"/>
  <c r="H42" i="15" s="1"/>
  <c r="H39" i="15"/>
  <c r="H38" i="15"/>
  <c r="H34" i="15"/>
  <c r="H24" i="15"/>
  <c r="H47" i="15" l="1"/>
  <c r="F240" i="5"/>
  <c r="E243" i="5" l="1"/>
  <c r="D243" i="5"/>
  <c r="AI12" i="4"/>
  <c r="AI11" i="4" s="1"/>
  <c r="AL24" i="4" l="1"/>
  <c r="E159" i="5" l="1"/>
  <c r="F60" i="5"/>
  <c r="L252" i="5" l="1"/>
  <c r="F236" i="5"/>
  <c r="C103" i="5"/>
  <c r="C202" i="5"/>
  <c r="B274" i="5"/>
  <c r="B266" i="5"/>
  <c r="B239" i="5"/>
  <c r="B163" i="5"/>
  <c r="B79" i="5"/>
  <c r="B42" i="5"/>
  <c r="F66" i="5" l="1"/>
  <c r="F65" i="5"/>
  <c r="F46" i="5"/>
  <c r="F45" i="5"/>
  <c r="E153" i="5" l="1"/>
  <c r="E149" i="5"/>
  <c r="E145" i="5"/>
  <c r="C86" i="5" l="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C114" i="5" l="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E150" i="5"/>
  <c r="I15" i="11" l="1"/>
  <c r="I14" i="11"/>
  <c r="B15" i="11"/>
  <c r="E270" i="5" l="1"/>
  <c r="E288" i="5" s="1"/>
  <c r="F288"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C26" i="8" l="1"/>
  <c r="C23" i="8"/>
  <c r="C25" i="8"/>
  <c r="AA63" i="15"/>
  <c r="AA68" i="15"/>
  <c r="AA62" i="15"/>
  <c r="AA69" i="15"/>
  <c r="AA64" i="15"/>
  <c r="G62" i="5"/>
  <c r="B139" i="6" s="1"/>
  <c r="AA22" i="15"/>
  <c r="AA21" i="15"/>
  <c r="C24"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C28" i="8" l="1"/>
  <c r="A62" i="15"/>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4" i="16" l="1"/>
  <c r="D13"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87" i="5" s="1"/>
  <c r="O8" i="18"/>
  <c r="O10" i="18"/>
  <c r="O7" i="18"/>
  <c r="D146" i="20"/>
  <c r="E173" i="20" s="1"/>
  <c r="O90" i="20"/>
  <c r="M90" i="20" l="1"/>
  <c r="AA90" i="20"/>
  <c r="AC90" i="20"/>
  <c r="AE90" i="20"/>
  <c r="K90" i="20"/>
  <c r="I90" i="20"/>
  <c r="L264" i="5" l="1"/>
  <c r="F287"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AA12" i="15"/>
  <c r="C131" i="20"/>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J37" i="15" s="1"/>
  <c r="H37" i="15" s="1"/>
  <c r="AB74" i="15"/>
  <c r="J74" i="15" s="1"/>
  <c r="H74" i="15" s="1"/>
  <c r="AB76" i="15"/>
  <c r="J73" i="15"/>
  <c r="H73" i="15" s="1"/>
  <c r="J12" i="15"/>
  <c r="H12" i="15" s="1"/>
  <c r="A61" i="15"/>
  <c r="C33" i="15" l="1"/>
  <c r="J32" i="15"/>
  <c r="H32" i="15" s="1"/>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8"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F4" i="8"/>
  <c r="D159" i="6"/>
  <c r="B79" i="15" l="1"/>
  <c r="D156" i="6"/>
  <c r="H5" i="8"/>
  <c r="H6" i="8"/>
  <c r="AE104" i="6"/>
  <c r="D16" i="14"/>
  <c r="D14" i="14"/>
  <c r="D15" i="14"/>
  <c r="D17" i="14"/>
  <c r="C17" i="14"/>
  <c r="C15" i="14"/>
  <c r="C14" i="14"/>
  <c r="B17" i="14"/>
  <c r="B15" i="14"/>
  <c r="B14" i="14"/>
  <c r="D7" i="14"/>
  <c r="C7" i="14" s="1"/>
  <c r="D6" i="14"/>
  <c r="C6" i="14" s="1"/>
  <c r="D5" i="14"/>
  <c r="F9" i="8"/>
  <c r="F10" i="8"/>
  <c r="H10" i="8" s="1"/>
  <c r="F11" i="8"/>
  <c r="L207" i="5" l="1"/>
  <c r="G206" i="5" s="1"/>
  <c r="E161" i="6"/>
  <c r="E161" i="20"/>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A20" i="15"/>
  <c r="AD20" i="15" s="1"/>
  <c r="AB20" i="15"/>
  <c r="H259" i="5"/>
  <c r="E146" i="5"/>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 i="11"/>
  <c r="M475" i="2"/>
  <c r="N475" i="2" s="1"/>
  <c r="J475" i="2"/>
  <c r="M146" i="6"/>
  <c r="T229" i="5" s="1"/>
  <c r="O146" i="6"/>
  <c r="T231" i="5" s="1"/>
  <c r="P130" i="6"/>
  <c r="A60" i="15" l="1"/>
  <c r="J67" i="15"/>
  <c r="H67" i="15" s="1"/>
  <c r="AE67" i="15"/>
  <c r="AA29" i="15"/>
  <c r="AA28" i="15"/>
  <c r="A28" i="15" s="1"/>
  <c r="AD28" i="15" s="1"/>
  <c r="AE24" i="15"/>
  <c r="Z24" i="15"/>
  <c r="D159" i="20"/>
  <c r="D139" i="20" s="1"/>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6" i="5"/>
  <c r="F286"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Y85" i="20"/>
  <c r="L138" i="20"/>
  <c r="G138" i="20"/>
  <c r="N138" i="20"/>
  <c r="H138" i="20"/>
  <c r="O138" i="20"/>
  <c r="I138" i="20"/>
  <c r="R138" i="20"/>
  <c r="F138" i="20"/>
  <c r="Q138" i="20"/>
  <c r="J138" i="20"/>
  <c r="K138" i="20"/>
  <c r="P138" i="20"/>
  <c r="D87" i="6"/>
  <c r="D89" i="6" s="1"/>
  <c r="E16" i="6"/>
  <c r="D16" i="6"/>
  <c r="C22"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P32" i="15" s="1"/>
  <c r="T32" i="15" s="1"/>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Z235" i="5"/>
  <c r="Q17" i="6"/>
  <c r="Q11" i="6"/>
  <c r="Q7" i="6"/>
  <c r="Q14" i="6"/>
  <c r="T18" i="6"/>
  <c r="T6" i="6" s="1"/>
  <c r="T17" i="6" s="1"/>
  <c r="S6" i="6"/>
  <c r="S17" i="6" s="1"/>
  <c r="P101" i="6"/>
  <c r="R103" i="6"/>
  <c r="V18" i="6"/>
  <c r="Q18" i="20" s="1"/>
  <c r="Q100" i="20"/>
  <c r="R112" i="6"/>
  <c r="R107" i="6"/>
  <c r="D111" i="6"/>
  <c r="C111" i="20" s="1"/>
  <c r="D112" i="20" s="1"/>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3"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3" i="16"/>
  <c r="F63" i="16" s="1"/>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4" i="16"/>
  <c r="F64" i="16" s="1"/>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1" i="16"/>
  <c r="C20" i="16" s="1"/>
  <c r="Y12" i="6"/>
  <c r="S35" i="20"/>
  <c r="V6" i="6"/>
  <c r="V9" i="6"/>
  <c r="Q12" i="20"/>
  <c r="AE12" i="6"/>
  <c r="W35" i="20"/>
  <c r="Y12" i="20"/>
  <c r="AH6" i="6"/>
  <c r="AH9" i="6"/>
  <c r="Z12" i="6"/>
  <c r="AB6" i="6"/>
  <c r="AB9" i="6"/>
  <c r="U12" i="20"/>
  <c r="D76" i="6" l="1"/>
  <c r="D77" i="6" s="1"/>
  <c r="R14" i="15"/>
  <c r="R12" i="15"/>
  <c r="C19"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F14"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12" i="15"/>
  <c r="V20" i="15"/>
  <c r="V24" i="15"/>
  <c r="V27" i="15"/>
  <c r="V18" i="15"/>
  <c r="B28" i="20"/>
  <c r="V60" i="15"/>
  <c r="W18" i="15"/>
  <c r="W67" i="15"/>
  <c r="C61" i="16" s="1"/>
  <c r="F61" i="16" s="1"/>
  <c r="V67" i="15"/>
  <c r="V62" i="15"/>
  <c r="V38" i="15"/>
  <c r="V37" i="15"/>
  <c r="D11" i="6"/>
  <c r="W27" i="15"/>
  <c r="C47" i="16" s="1"/>
  <c r="F47" i="16" s="1"/>
  <c r="W24" i="15"/>
  <c r="C46" i="16" s="1"/>
  <c r="F46" i="16" s="1"/>
  <c r="W20" i="15"/>
  <c r="C45" i="16" s="1"/>
  <c r="F45" i="16" s="1"/>
  <c r="C9" i="20"/>
  <c r="W62" i="15"/>
  <c r="C60" i="16" s="1"/>
  <c r="F60"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l="1"/>
  <c r="Z39" i="15"/>
  <c r="Z12" i="15"/>
  <c r="D162" i="20" l="1"/>
  <c r="M161" i="6"/>
  <c r="G51" i="5" l="1"/>
  <c r="B137" i="20"/>
  <c r="C137" i="6"/>
  <c r="AM50" i="6" s="1"/>
  <c r="AM51" i="6" s="1"/>
  <c r="P161" i="6"/>
  <c r="N161" i="6"/>
  <c r="Q161" i="6"/>
  <c r="R161" i="6"/>
  <c r="J161" i="6"/>
  <c r="L161" i="6"/>
  <c r="K161" i="6"/>
  <c r="D161" i="6"/>
  <c r="F23" i="5"/>
  <c r="E285" i="5" s="1"/>
  <c r="C27" i="16"/>
  <c r="H161" i="6"/>
  <c r="G161" i="6"/>
  <c r="I161" i="6"/>
  <c r="O161" i="6"/>
  <c r="D162" i="6"/>
  <c r="F285" i="5" l="1"/>
  <c r="B134" i="6"/>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F12" i="15" l="1"/>
  <c r="H9" i="15"/>
  <c r="G144" i="6"/>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9" i="15" s="1"/>
  <c r="B144" i="20"/>
  <c r="K134" i="6"/>
  <c r="K144" i="6" s="1"/>
  <c r="H134" i="6"/>
  <c r="H144" i="6" s="1"/>
  <c r="R134" i="6"/>
  <c r="R144" i="6" s="1"/>
  <c r="AJ42" i="6"/>
  <c r="AJ38" i="6"/>
  <c r="AJ39" i="6" s="1"/>
  <c r="AM42" i="6"/>
  <c r="AM38" i="6"/>
  <c r="AM39" i="6" s="1"/>
  <c r="R9" i="15" l="1"/>
  <c r="V9" i="15"/>
  <c r="S12" i="15"/>
  <c r="W12" i="15" s="1"/>
  <c r="C43" i="16" s="1"/>
  <c r="F43"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2"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2" i="16" l="1"/>
  <c r="Z37" i="15" l="1"/>
  <c r="Z38" i="15" l="1"/>
  <c r="Z32" i="15" l="1"/>
  <c r="AE35" i="15" l="1"/>
  <c r="Z35" i="15"/>
  <c r="V35" i="15"/>
  <c r="A34" i="15"/>
  <c r="AD34" i="15" s="1"/>
  <c r="AB34" i="15" l="1"/>
  <c r="U35" i="15"/>
  <c r="W35" i="15" s="1"/>
  <c r="C50" i="16" s="1"/>
  <c r="F50" i="16" s="1"/>
  <c r="F18" i="16" l="1"/>
  <c r="P34" i="15"/>
  <c r="T34" i="15" s="1"/>
  <c r="AE34" i="15"/>
  <c r="Z34" i="15"/>
  <c r="A35" i="15"/>
  <c r="AD35" i="15" s="1"/>
  <c r="A31" i="15" s="1"/>
  <c r="U34" i="15" l="1"/>
  <c r="V34" i="15"/>
  <c r="W34" i="15" l="1"/>
  <c r="C49" i="16" l="1"/>
  <c r="F49" i="16" s="1"/>
  <c r="AB48" i="15"/>
  <c r="AB43" i="15" l="1"/>
  <c r="Q48" i="15"/>
  <c r="X48" i="15" s="1"/>
  <c r="Y48" i="15" s="1"/>
  <c r="Z48" i="15"/>
  <c r="AE42" i="15" l="1"/>
  <c r="Q43" i="15"/>
  <c r="X43" i="15" s="1"/>
  <c r="Y43" i="15" s="1"/>
  <c r="Z43" i="15"/>
  <c r="AB49" i="15"/>
  <c r="Z49" i="15" l="1"/>
  <c r="AB44" i="15" l="1"/>
  <c r="M65" i="10" l="1"/>
  <c r="I65" i="10"/>
  <c r="R109" i="20" s="1"/>
  <c r="H65" i="10"/>
  <c r="J65" i="10"/>
  <c r="T109" i="20" s="1"/>
  <c r="K65" i="10"/>
  <c r="C66" i="10"/>
  <c r="L65" i="10"/>
  <c r="G65" i="10"/>
  <c r="N109" i="20" s="1"/>
  <c r="E66" i="10"/>
  <c r="N65" i="10"/>
  <c r="O65" i="10"/>
  <c r="AD109" i="20" s="1"/>
  <c r="D109" i="20"/>
  <c r="Q49" i="15" s="1"/>
  <c r="X49" i="15" s="1"/>
  <c r="Y49" i="15" s="1"/>
  <c r="P109" i="20"/>
  <c r="AB109" i="20"/>
  <c r="Z109" i="20"/>
  <c r="Q44" i="15"/>
  <c r="X44" i="15" s="1"/>
  <c r="Y44" i="15" s="1"/>
  <c r="P65" i="10"/>
  <c r="AF109" i="20" s="1"/>
  <c r="Z44" i="15"/>
  <c r="V109" i="20"/>
  <c r="X109" i="20"/>
  <c r="F66" i="10"/>
  <c r="L109" i="20" s="1"/>
  <c r="J109" i="20"/>
  <c r="AA47" i="15" l="1"/>
  <c r="AB50" i="15"/>
  <c r="Z50" i="15" s="1"/>
  <c r="AB45" i="15"/>
  <c r="AB42" i="15" s="1"/>
  <c r="Q45" i="15" l="1"/>
  <c r="X45" i="15" s="1"/>
  <c r="Y45" i="15" s="1"/>
  <c r="Y42" i="15" s="1"/>
  <c r="C54" i="16" s="1"/>
  <c r="F54"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6" i="16" s="1"/>
  <c r="F56" i="16" s="1"/>
  <c r="Y47" i="15"/>
  <c r="C55" i="16" s="1"/>
  <c r="F55" i="16" s="1"/>
  <c r="A47" i="15"/>
  <c r="AB55" i="15" l="1"/>
  <c r="Z55" i="15" s="1"/>
  <c r="Q55" i="15" l="1"/>
  <c r="X55" i="15" s="1"/>
  <c r="Y55" i="15" s="1"/>
  <c r="C57" i="16" s="1"/>
  <c r="F57" i="16" s="1"/>
  <c r="AB56" i="15"/>
  <c r="AE55" i="15"/>
  <c r="D104" i="20" l="1"/>
  <c r="J104" i="20" s="1"/>
  <c r="AD6" i="15"/>
  <c r="A6" i="15"/>
  <c r="A54" i="15"/>
  <c r="Z56" i="15"/>
  <c r="C50" i="4" s="1"/>
  <c r="Q56" i="15"/>
  <c r="AE56" i="15"/>
  <c r="D105" i="20" l="1"/>
  <c r="X56" i="15"/>
  <c r="Y56" i="15" s="1"/>
  <c r="Q54" i="15"/>
  <c r="J105" i="20"/>
  <c r="L104" i="20"/>
  <c r="C52" i="4"/>
  <c r="N104" i="20" l="1"/>
  <c r="L105" i="20"/>
  <c r="C58" i="16"/>
  <c r="F58" i="16" s="1"/>
  <c r="Y58" i="15"/>
  <c r="C59" i="16" s="1"/>
  <c r="F59"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2" i="16" s="1"/>
  <c r="F62" i="16" s="1"/>
  <c r="O71" i="15"/>
  <c r="V71" i="15" l="1"/>
  <c r="R71" i="15"/>
  <c r="S71" i="15" s="1"/>
  <c r="W71" i="15" s="1"/>
  <c r="P39" i="15" l="1"/>
  <c r="T39" i="15" s="1"/>
  <c r="U38" i="15" s="1"/>
  <c r="W38" i="15" s="1"/>
  <c r="C52" i="16" s="1"/>
  <c r="F52" i="16" s="1"/>
  <c r="U39" i="15" l="1"/>
  <c r="W39" i="15" s="1"/>
  <c r="C53" i="16" s="1"/>
  <c r="F53" i="16" s="1"/>
  <c r="V39" i="15"/>
  <c r="O7" i="15"/>
  <c r="S14" i="15"/>
  <c r="W14" i="15" s="1"/>
  <c r="C44" i="16" s="1"/>
  <c r="F44" i="16" s="1"/>
  <c r="U32" i="15"/>
  <c r="U31" i="15" s="1"/>
  <c r="R7" i="15" l="1"/>
  <c r="S7" i="15" s="1"/>
  <c r="V7" i="15"/>
  <c r="U36" i="15"/>
  <c r="U6" i="15" s="1"/>
  <c r="W7" i="15" l="1"/>
  <c r="G49" i="5" l="1"/>
  <c r="J76" i="18" s="1"/>
  <c r="AA76" i="18" s="1"/>
  <c r="E43" i="5" l="1"/>
  <c r="D179" i="20"/>
  <c r="D185" i="20" s="1"/>
  <c r="D182" i="6"/>
  <c r="D188" i="6" s="1"/>
  <c r="D41" i="15"/>
  <c r="D180" i="20"/>
  <c r="D186" i="20" s="1"/>
  <c r="E67" i="5"/>
  <c r="E278" i="5" s="1"/>
  <c r="E289" i="5" s="1"/>
  <c r="D181" i="6"/>
  <c r="D187" i="6" s="1"/>
  <c r="M189" i="20" l="1"/>
  <c r="Q189" i="20"/>
  <c r="I189" i="20"/>
  <c r="R189" i="20"/>
  <c r="N189" i="20"/>
  <c r="L189" i="20"/>
  <c r="P189" i="20"/>
  <c r="G189" i="20"/>
  <c r="K189" i="20"/>
  <c r="H189" i="20"/>
  <c r="D189" i="20"/>
  <c r="F151" i="20" s="1"/>
  <c r="D34" i="10" s="1"/>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G188" i="20"/>
  <c r="M188" i="20"/>
  <c r="L188" i="20"/>
  <c r="O188" i="20"/>
  <c r="K188" i="20"/>
  <c r="Q188" i="20"/>
  <c r="D188" i="20"/>
  <c r="P188" i="20"/>
  <c r="I188" i="20"/>
  <c r="H188" i="20"/>
  <c r="R188" i="20"/>
  <c r="N188" i="20"/>
  <c r="J188" i="20"/>
  <c r="D187" i="20"/>
  <c r="J192" i="6" l="1"/>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90" i="5"/>
  <c r="G86" i="15"/>
  <c r="B292" i="5"/>
  <c r="C49" i="4"/>
  <c r="N86" i="20"/>
  <c r="N87" i="20" s="1"/>
  <c r="N15" i="20"/>
  <c r="N16" i="20" s="1"/>
  <c r="N17" i="20" s="1"/>
  <c r="Z86" i="20"/>
  <c r="Z87" i="20" s="1"/>
  <c r="Z15" i="20"/>
  <c r="Z16" i="20" s="1"/>
  <c r="Z17" i="20" s="1"/>
  <c r="AF86" i="20"/>
  <c r="AF87" i="20" s="1"/>
  <c r="AF15" i="20"/>
  <c r="AF16" i="20" s="1"/>
  <c r="AF17" i="20" s="1"/>
  <c r="D35" i="10"/>
  <c r="C52" i="17"/>
  <c r="D52" i="17" s="1"/>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D93" i="20" l="1"/>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D94" i="20" l="1"/>
  <c r="D87" i="20"/>
  <c r="D22" i="16"/>
  <c r="E22"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F88" i="15" l="1"/>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9"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30" i="16"/>
  <c r="C31"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4" i="20"/>
  <c r="Z63" i="20"/>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Z67" i="20"/>
  <c r="R70" i="20"/>
  <c r="R68" i="20"/>
  <c r="R69"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Z40"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9" i="20"/>
  <c r="Z48" i="20"/>
  <c r="T40" i="20"/>
  <c r="Y57" i="6"/>
  <c r="S56" i="20"/>
  <c r="D63" i="6"/>
  <c r="C62" i="20"/>
  <c r="E4" i="15"/>
  <c r="B27" i="6"/>
  <c r="C4" i="15"/>
  <c r="C6" i="6"/>
  <c r="C9" i="6"/>
  <c r="C13" i="6"/>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4" i="20"/>
  <c r="R63" i="20"/>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R40"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70" i="20"/>
  <c r="Z68" i="20"/>
  <c r="Z69" i="20" s="1"/>
  <c r="Z50" i="20"/>
  <c r="Z51" i="20" s="1"/>
  <c r="Z52" i="20"/>
  <c r="W59" i="20"/>
  <c r="AE60" i="6"/>
  <c r="AK60" i="6"/>
  <c r="AA59" i="20"/>
  <c r="R67"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O32" i="15" l="1"/>
  <c r="V32" i="15" s="1"/>
  <c r="F13" i="6"/>
  <c r="E37" i="6"/>
  <c r="P42" i="20"/>
  <c r="P43" i="20" s="1"/>
  <c r="P59" i="20"/>
  <c r="P60" i="20" s="1"/>
  <c r="P61" i="20" s="1"/>
  <c r="T59" i="20"/>
  <c r="T60" i="20" s="1"/>
  <c r="T61" i="20"/>
  <c r="R42" i="20"/>
  <c r="R43" i="20"/>
  <c r="Z59" i="20"/>
  <c r="Z60" i="20" s="1"/>
  <c r="Z61" i="20"/>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5" i="20"/>
  <c r="Z53" i="20"/>
  <c r="Z54" i="20" s="1"/>
  <c r="V48" i="20"/>
  <c r="V49" i="20"/>
  <c r="AB42" i="20"/>
  <c r="AB43" i="20" s="1"/>
  <c r="X50" i="20"/>
  <c r="X52" i="20"/>
  <c r="X45" i="20"/>
  <c r="X46" i="20"/>
  <c r="D47" i="20"/>
  <c r="D48" i="20" s="1"/>
  <c r="D49" i="20" s="1"/>
  <c r="D57" i="6"/>
  <c r="C56" i="20"/>
  <c r="F15" i="6"/>
  <c r="C291" i="5" s="1"/>
  <c r="C292" i="5" s="1"/>
  <c r="AF42" i="20"/>
  <c r="AF43" i="20" s="1"/>
  <c r="T21" i="6"/>
  <c r="T22" i="6"/>
  <c r="L59" i="20"/>
  <c r="L60" i="20" s="1"/>
  <c r="L61" i="20" s="1"/>
  <c r="N68" i="20"/>
  <c r="N69" i="20" s="1"/>
  <c r="N70" i="20" s="1"/>
  <c r="N48" i="20"/>
  <c r="N49" i="20" s="1"/>
  <c r="X58" i="20"/>
  <c r="X56" i="20"/>
  <c r="X57" i="20" s="1"/>
  <c r="R59" i="20"/>
  <c r="R60" i="20" s="1"/>
  <c r="R61" i="20"/>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8" i="20"/>
  <c r="R56" i="20"/>
  <c r="R57" i="20" s="1"/>
  <c r="R55" i="20"/>
  <c r="R53" i="20"/>
  <c r="R54" i="20" s="1"/>
  <c r="L48" i="20"/>
  <c r="L49" i="20" s="1"/>
  <c r="Z46" i="20"/>
  <c r="Z45" i="20"/>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c r="L45" i="20"/>
  <c r="L46" i="20" s="1"/>
  <c r="Z42" i="20"/>
  <c r="Z43" i="20"/>
  <c r="J20" i="6"/>
  <c r="I17" i="6"/>
  <c r="I8" i="6"/>
  <c r="I7" i="6"/>
  <c r="K20" i="6"/>
  <c r="X55" i="20"/>
  <c r="X53" i="20"/>
  <c r="X54" i="20" s="1"/>
  <c r="AD63" i="20"/>
  <c r="AD64" i="20" s="1"/>
  <c r="L50" i="20"/>
  <c r="L52" i="20"/>
  <c r="Z56" i="20"/>
  <c r="Z58"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R32" i="15" l="1"/>
  <c r="L38" i="20"/>
  <c r="L65" i="20" s="1"/>
  <c r="L66" i="20" s="1"/>
  <c r="L67" i="20" s="1"/>
  <c r="AB38" i="20"/>
  <c r="AB65" i="20" s="1"/>
  <c r="AB66" i="20" s="1"/>
  <c r="AB67" i="20" s="1"/>
  <c r="Z38" i="20"/>
  <c r="Z65" i="20" s="1"/>
  <c r="Z66" i="20" s="1"/>
  <c r="R38" i="20"/>
  <c r="R65" i="20" s="1"/>
  <c r="R66" i="20" s="1"/>
  <c r="C8" i="6"/>
  <c r="L51" i="20"/>
  <c r="D69" i="20"/>
  <c r="D70" i="20" s="1"/>
  <c r="P38" i="20"/>
  <c r="P39" i="20" s="1"/>
  <c r="P40" i="20" s="1"/>
  <c r="AD42" i="20"/>
  <c r="AD43" i="20" s="1"/>
  <c r="J45" i="20"/>
  <c r="J46" i="20" s="1"/>
  <c r="Z57" i="20"/>
  <c r="E21" i="6"/>
  <c r="E22" i="6"/>
  <c r="D59" i="20"/>
  <c r="D60" i="20" s="1"/>
  <c r="D61" i="20" s="1"/>
  <c r="P51" i="20"/>
  <c r="D56" i="20"/>
  <c r="D57" i="20" s="1"/>
  <c r="D58" i="20" s="1"/>
  <c r="AD48" i="20"/>
  <c r="AD49"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L39" i="20" l="1"/>
  <c r="L40" i="20" s="1"/>
  <c r="AB39" i="20"/>
  <c r="AB40" i="20" s="1"/>
  <c r="P65" i="20"/>
  <c r="P66" i="20" s="1"/>
  <c r="P67" i="20" s="1"/>
  <c r="N38" i="20"/>
  <c r="N65" i="20" s="1"/>
  <c r="N66" i="20" s="1"/>
  <c r="N67" i="20" s="1"/>
  <c r="R39" i="20"/>
  <c r="Z39" i="20"/>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R35" i="20"/>
  <c r="J51" i="20"/>
  <c r="L35" i="20"/>
  <c r="Z35" i="20"/>
  <c r="P35" i="20" l="1"/>
  <c r="P36" i="20" s="1"/>
  <c r="P37" i="20" s="1"/>
  <c r="N39" i="20"/>
  <c r="N40" i="20" s="1"/>
  <c r="D65" i="20"/>
  <c r="D35" i="20" s="1"/>
  <c r="C42" i="10" s="1"/>
  <c r="C48" i="10" s="1"/>
  <c r="C51" i="10" s="1"/>
  <c r="D108" i="20" s="1"/>
  <c r="A80" i="20"/>
  <c r="AF35" i="20"/>
  <c r="AF36" i="20" s="1"/>
  <c r="AF37" i="20" s="1"/>
  <c r="AB36" i="20"/>
  <c r="AB37" i="20" s="1"/>
  <c r="AB12" i="20"/>
  <c r="N41" i="10"/>
  <c r="N47" i="10" s="1"/>
  <c r="N50" i="10" s="1"/>
  <c r="AB108" i="20" s="1"/>
  <c r="AB106" i="20" s="1"/>
  <c r="N35" i="20"/>
  <c r="X35" i="20"/>
  <c r="R12" i="20"/>
  <c r="R36" i="20"/>
  <c r="R37" i="20" s="1"/>
  <c r="I41" i="10"/>
  <c r="I47" i="10" s="1"/>
  <c r="I50" i="10" s="1"/>
  <c r="R108" i="20" s="1"/>
  <c r="R106" i="20" s="1"/>
  <c r="S36" i="15"/>
  <c r="W37" i="15"/>
  <c r="V35" i="20"/>
  <c r="J65" i="20"/>
  <c r="J66" i="20" s="1"/>
  <c r="J67" i="20" s="1"/>
  <c r="J39" i="20"/>
  <c r="J40" i="20" s="1"/>
  <c r="Z36" i="20"/>
  <c r="Z37" i="20" s="1"/>
  <c r="M41" i="10"/>
  <c r="M47" i="10" s="1"/>
  <c r="M50" i="10" s="1"/>
  <c r="Z108" i="20" s="1"/>
  <c r="Z106" i="20" s="1"/>
  <c r="Z12" i="20"/>
  <c r="AD65" i="20"/>
  <c r="AD66" i="20" s="1"/>
  <c r="AD67" i="20" s="1"/>
  <c r="AD39" i="20"/>
  <c r="AD40" i="20" s="1"/>
  <c r="S31" i="15"/>
  <c r="W32" i="15"/>
  <c r="T35" i="20"/>
  <c r="L36" i="20"/>
  <c r="L37" i="20" s="1"/>
  <c r="L12" i="20"/>
  <c r="F42" i="10"/>
  <c r="F48" i="10" s="1"/>
  <c r="F51" i="10" s="1"/>
  <c r="L108" i="20" s="1"/>
  <c r="L106" i="20" s="1"/>
  <c r="P12" i="20" l="1"/>
  <c r="P9" i="20" s="1"/>
  <c r="P10" i="20" s="1"/>
  <c r="P11" i="20" s="1"/>
  <c r="H41" i="10"/>
  <c r="H47" i="10" s="1"/>
  <c r="H50" i="10" s="1"/>
  <c r="P108" i="20" s="1"/>
  <c r="P106" i="20" s="1"/>
  <c r="P100" i="20" s="1"/>
  <c r="L100" i="20"/>
  <c r="L107" i="20"/>
  <c r="Z100" i="20"/>
  <c r="Z107" i="20"/>
  <c r="AB100" i="20"/>
  <c r="AB107" i="20"/>
  <c r="R100" i="20"/>
  <c r="R107" i="20"/>
  <c r="D66" i="20"/>
  <c r="D67" i="20" s="1"/>
  <c r="C80" i="20"/>
  <c r="D76" i="20"/>
  <c r="D77" i="20" s="1"/>
  <c r="AF12" i="20"/>
  <c r="AF13" i="20" s="1"/>
  <c r="AF14" i="20" s="1"/>
  <c r="D36" i="20"/>
  <c r="D37" i="20" s="1"/>
  <c r="J35" i="20"/>
  <c r="E42" i="10" s="1"/>
  <c r="E48" i="10" s="1"/>
  <c r="E51" i="10" s="1"/>
  <c r="J108" i="20" s="1"/>
  <c r="J106" i="20" s="1"/>
  <c r="D12" i="20"/>
  <c r="P41" i="10"/>
  <c r="P47" i="10" s="1"/>
  <c r="P50" i="10" s="1"/>
  <c r="AF108" i="20" s="1"/>
  <c r="AF106" i="20" s="1"/>
  <c r="S6" i="15"/>
  <c r="W31" i="15"/>
  <c r="C48" i="16"/>
  <c r="F48" i="16" s="1"/>
  <c r="AD35" i="20"/>
  <c r="Z13" i="20"/>
  <c r="Z14" i="20" s="1"/>
  <c r="Z9" i="20"/>
  <c r="Z10" i="20" s="1"/>
  <c r="Z11" i="20" s="1"/>
  <c r="N36" i="20"/>
  <c r="N37" i="20" s="1"/>
  <c r="N12" i="20"/>
  <c r="G41" i="10"/>
  <c r="G47" i="10" s="1"/>
  <c r="G50" i="10" s="1"/>
  <c r="N108" i="20" s="1"/>
  <c r="N106" i="20" s="1"/>
  <c r="L13" i="20"/>
  <c r="L14" i="20" s="1"/>
  <c r="L9" i="20"/>
  <c r="L10" i="20" s="1"/>
  <c r="L11" i="20" s="1"/>
  <c r="V36" i="20"/>
  <c r="V37" i="20" s="1"/>
  <c r="V12" i="20"/>
  <c r="K41" i="10"/>
  <c r="K47" i="10" s="1"/>
  <c r="K50" i="10" s="1"/>
  <c r="V108" i="20" s="1"/>
  <c r="V106" i="20" s="1"/>
  <c r="Q32" i="15"/>
  <c r="D106" i="20"/>
  <c r="P13" i="20"/>
  <c r="P14" i="20" s="1"/>
  <c r="W36" i="15"/>
  <c r="C51" i="16"/>
  <c r="F51" i="16" s="1"/>
  <c r="R9" i="20"/>
  <c r="R10" i="20" s="1"/>
  <c r="R11" i="20" s="1"/>
  <c r="R13" i="20"/>
  <c r="R14" i="20" s="1"/>
  <c r="AB13" i="20"/>
  <c r="AB14" i="20" s="1"/>
  <c r="AB9" i="20"/>
  <c r="AB10" i="20" s="1"/>
  <c r="AB11" i="20" s="1"/>
  <c r="T36" i="20"/>
  <c r="T37" i="20" s="1"/>
  <c r="T12" i="20"/>
  <c r="J41" i="10"/>
  <c r="J47" i="10" s="1"/>
  <c r="J50" i="10" s="1"/>
  <c r="T108" i="20" s="1"/>
  <c r="T106" i="20" s="1"/>
  <c r="X36" i="20"/>
  <c r="X37" i="20" s="1"/>
  <c r="X12" i="20"/>
  <c r="L41" i="10"/>
  <c r="L47" i="10" s="1"/>
  <c r="L50" i="10" s="1"/>
  <c r="X108" i="20" s="1"/>
  <c r="X106" i="20" s="1"/>
  <c r="P107" i="20" l="1"/>
  <c r="AF9" i="20"/>
  <c r="AF10" i="20" s="1"/>
  <c r="AF11" i="20" s="1"/>
  <c r="X100" i="20"/>
  <c r="X107" i="20"/>
  <c r="AF100" i="20"/>
  <c r="AF107" i="20"/>
  <c r="J100" i="20"/>
  <c r="J107" i="20"/>
  <c r="T100" i="20"/>
  <c r="T107" i="20"/>
  <c r="D100" i="20"/>
  <c r="D115" i="20" s="1"/>
  <c r="D107" i="20"/>
  <c r="F95" i="15"/>
  <c r="E24" i="16"/>
  <c r="D11" i="16" s="1"/>
  <c r="V100" i="20"/>
  <c r="V107" i="20"/>
  <c r="N100" i="20"/>
  <c r="N107" i="20"/>
  <c r="D9" i="20"/>
  <c r="D10" i="20" s="1"/>
  <c r="D11" i="20" s="1"/>
  <c r="D21" i="16"/>
  <c r="D20" i="16" s="1"/>
  <c r="R18" i="20"/>
  <c r="R101" i="20"/>
  <c r="AB18" i="20"/>
  <c r="AB101" i="20"/>
  <c r="Z18" i="20"/>
  <c r="Z101" i="20"/>
  <c r="P18" i="20"/>
  <c r="P101" i="20"/>
  <c r="L18" i="20"/>
  <c r="L101" i="20"/>
  <c r="E51" i="16"/>
  <c r="D51" i="16" s="1"/>
  <c r="E48" i="16"/>
  <c r="D48" i="16" s="1"/>
  <c r="E53" i="16"/>
  <c r="D53" i="16" s="1"/>
  <c r="E46" i="16"/>
  <c r="D46" i="16" s="1"/>
  <c r="E49" i="16"/>
  <c r="D49" i="16" s="1"/>
  <c r="E55" i="16"/>
  <c r="D55" i="16" s="1"/>
  <c r="E50" i="16"/>
  <c r="D50" i="16" s="1"/>
  <c r="E52" i="16"/>
  <c r="D52" i="16" s="1"/>
  <c r="E54" i="16"/>
  <c r="D54" i="16" s="1"/>
  <c r="E47" i="16"/>
  <c r="D47" i="16" s="1"/>
  <c r="E45" i="16"/>
  <c r="D45" i="16" s="1"/>
  <c r="E44" i="16"/>
  <c r="D44" i="16" s="1"/>
  <c r="E56" i="16"/>
  <c r="D56" i="16" s="1"/>
  <c r="E62" i="16"/>
  <c r="D62" i="16" s="1"/>
  <c r="E63" i="16"/>
  <c r="D63" i="16" s="1"/>
  <c r="E43" i="16"/>
  <c r="D43" i="16" s="1"/>
  <c r="E61" i="16"/>
  <c r="D61" i="16" s="1"/>
  <c r="E64" i="16"/>
  <c r="D64" i="16" s="1"/>
  <c r="E42" i="16"/>
  <c r="D42" i="16" s="1"/>
  <c r="E60" i="16"/>
  <c r="D60" i="16" s="1"/>
  <c r="E59" i="16"/>
  <c r="D59" i="16" s="1"/>
  <c r="E57" i="16"/>
  <c r="D57" i="16" s="1"/>
  <c r="E58" i="16"/>
  <c r="D58" i="16" s="1"/>
  <c r="J36" i="20"/>
  <c r="J37" i="20" s="1"/>
  <c r="J12" i="20"/>
  <c r="J9" i="20" s="1"/>
  <c r="J10" i="20" s="1"/>
  <c r="J11" i="20" s="1"/>
  <c r="D13" i="20"/>
  <c r="B27" i="20"/>
  <c r="T13" i="20"/>
  <c r="T14" i="20" s="1"/>
  <c r="T9" i="20"/>
  <c r="T10" i="20" s="1"/>
  <c r="T11" i="20" s="1"/>
  <c r="V13" i="20"/>
  <c r="V14" i="20" s="1"/>
  <c r="V9" i="20"/>
  <c r="V10" i="20" s="1"/>
  <c r="V11" i="20" s="1"/>
  <c r="AD36" i="20"/>
  <c r="AD37" i="20" s="1"/>
  <c r="AD12" i="20"/>
  <c r="O41" i="10"/>
  <c r="O47" i="10" s="1"/>
  <c r="O50" i="10" s="1"/>
  <c r="AD108" i="20" s="1"/>
  <c r="AD106" i="20" s="1"/>
  <c r="X13" i="20"/>
  <c r="X14" i="20" s="1"/>
  <c r="X9" i="20"/>
  <c r="X10" i="20" s="1"/>
  <c r="X11" i="20" s="1"/>
  <c r="Q31" i="15"/>
  <c r="X32" i="15"/>
  <c r="N13" i="20"/>
  <c r="N14" i="20" s="1"/>
  <c r="N9" i="20"/>
  <c r="N10" i="20" s="1"/>
  <c r="N11" i="20" s="1"/>
  <c r="W6" i="15"/>
  <c r="D18" i="20" l="1"/>
  <c r="D23" i="16" s="1"/>
  <c r="J13" i="20"/>
  <c r="J14" i="20" s="1"/>
  <c r="AD100" i="20"/>
  <c r="AD107" i="20"/>
  <c r="D14" i="20"/>
  <c r="E21" i="16"/>
  <c r="E20" i="16" s="1"/>
  <c r="F93" i="15" s="1"/>
  <c r="D19" i="16"/>
  <c r="L19" i="20"/>
  <c r="L20" i="20" s="1"/>
  <c r="L6" i="20"/>
  <c r="P19" i="20"/>
  <c r="P20" i="20" s="1"/>
  <c r="P6" i="20"/>
  <c r="Z19" i="20"/>
  <c r="Z20" i="20" s="1"/>
  <c r="Z6" i="20"/>
  <c r="AB19" i="20"/>
  <c r="AB20" i="20" s="1"/>
  <c r="AB6" i="20"/>
  <c r="R19" i="20"/>
  <c r="R20" i="20" s="1"/>
  <c r="R6" i="20"/>
  <c r="N18" i="20"/>
  <c r="N101" i="20"/>
  <c r="V18" i="20"/>
  <c r="V101" i="20"/>
  <c r="D101" i="20"/>
  <c r="E23" i="16"/>
  <c r="F94" i="15" s="1"/>
  <c r="T18" i="20"/>
  <c r="T101" i="20"/>
  <c r="J18" i="20"/>
  <c r="J19" i="20" s="1"/>
  <c r="J20" i="20" s="1"/>
  <c r="J101" i="20"/>
  <c r="AF18" i="20"/>
  <c r="AF101" i="20"/>
  <c r="X18" i="20"/>
  <c r="X101" i="20"/>
  <c r="J6" i="20"/>
  <c r="J23" i="20" s="1"/>
  <c r="J24" i="20" s="1"/>
  <c r="X31" i="15"/>
  <c r="Y32" i="15"/>
  <c r="Y31" i="15" s="1"/>
  <c r="Y6" i="15" s="1"/>
  <c r="AD9" i="20"/>
  <c r="AD10" i="20" s="1"/>
  <c r="AD11" i="20" s="1"/>
  <c r="AD13" i="20"/>
  <c r="AD14" i="20" s="1"/>
  <c r="C27" i="20"/>
  <c r="J7" i="20"/>
  <c r="J8" i="20" s="1"/>
  <c r="D6" i="20" l="1"/>
  <c r="D23" i="20" s="1"/>
  <c r="D19" i="20"/>
  <c r="D20" i="20" s="1"/>
  <c r="X19" i="20"/>
  <c r="X20" i="20" s="1"/>
  <c r="X6" i="20"/>
  <c r="AF19" i="20"/>
  <c r="AF20" i="20" s="1"/>
  <c r="AF6" i="20"/>
  <c r="T19" i="20"/>
  <c r="T20" i="20" s="1"/>
  <c r="T6" i="20"/>
  <c r="V19" i="20"/>
  <c r="V20" i="20" s="1"/>
  <c r="V6" i="20"/>
  <c r="N19" i="20"/>
  <c r="N20" i="20" s="1"/>
  <c r="N6" i="20"/>
  <c r="R7" i="20"/>
  <c r="R8" i="20" s="1"/>
  <c r="R23" i="20"/>
  <c r="R24" i="20" s="1"/>
  <c r="AB23" i="20"/>
  <c r="AB24" i="20" s="1"/>
  <c r="AB7" i="20"/>
  <c r="AB8" i="20" s="1"/>
  <c r="Z23" i="20"/>
  <c r="Z24" i="20" s="1"/>
  <c r="Z7" i="20"/>
  <c r="Z8" i="20" s="1"/>
  <c r="P23" i="20"/>
  <c r="P24" i="20" s="1"/>
  <c r="P7" i="20"/>
  <c r="P8" i="20" s="1"/>
  <c r="L23" i="20"/>
  <c r="L24" i="20" s="1"/>
  <c r="L7" i="20"/>
  <c r="L8" i="20" s="1"/>
  <c r="F89" i="15"/>
  <c r="C36" i="16"/>
  <c r="AD18" i="20"/>
  <c r="AD101" i="20"/>
  <c r="D7" i="20"/>
  <c r="F96" i="15" s="1"/>
  <c r="F97" i="15" s="1"/>
  <c r="F90" i="15" l="1"/>
  <c r="C35" i="16"/>
  <c r="C37" i="16" s="1"/>
  <c r="F91" i="15" s="1"/>
  <c r="N7" i="20"/>
  <c r="N8" i="20" s="1"/>
  <c r="N23" i="20"/>
  <c r="N24" i="20" s="1"/>
  <c r="V7" i="20"/>
  <c r="V8" i="20" s="1"/>
  <c r="V23" i="20"/>
  <c r="V24" i="20" s="1"/>
  <c r="T23" i="20"/>
  <c r="T24" i="20" s="1"/>
  <c r="T7" i="20"/>
  <c r="T8" i="20" s="1"/>
  <c r="AF7" i="20"/>
  <c r="AF8" i="20" s="1"/>
  <c r="AF23" i="20"/>
  <c r="AF24" i="20" s="1"/>
  <c r="X23" i="20"/>
  <c r="X24" i="20" s="1"/>
  <c r="X7" i="20"/>
  <c r="X8" i="20" s="1"/>
  <c r="AD19" i="20"/>
  <c r="AD20" i="20" s="1"/>
  <c r="AD6" i="20"/>
  <c r="D24" i="20"/>
  <c r="D8" i="20"/>
  <c r="AD7" i="20" l="1"/>
  <c r="AD8" i="20" s="1"/>
  <c r="AD23" i="20"/>
  <c r="AD24" i="20" s="1"/>
  <c r="C33" i="16"/>
  <c r="C34" i="16" s="1"/>
  <c r="D34" i="16" s="1"/>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<sst xmlns="http://schemas.openxmlformats.org/spreadsheetml/2006/main" count="5354" uniqueCount="1949">
  <si>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</si>
  <si>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</si>
  <si>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</si>
  <si>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</si>
  <si>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</si>
  <si>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</si>
  <si>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</si>
  <si>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</si>
  <si>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</si>
  <si>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</si>
  <si>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</si>
  <si>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</si>
  <si>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</si>
  <si>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</si>
  <si>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</si>
  <si>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</si>
  <si>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</si>
  <si>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</si>
  <si>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</si>
  <si>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</si>
  <si>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</si>
  <si>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</si>
  <si>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</si>
  <si>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</si>
  <si>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</si>
  <si>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</si>
  <si>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</si>
  <si>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</si>
  <si>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</si>
  <si>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</si>
  <si>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</si>
  <si>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</si>
  <si>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</si>
  <si>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</si>
  <si>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</si>
  <si>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</si>
  <si>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</si>
  <si>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</si>
  <si>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</si>
  <si>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</si>
  <si>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</si>
  <si>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</si>
  <si>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</si>
  <si>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</si>
  <si>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</si>
  <si>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</si>
  <si>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</si>
  <si>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</si>
  <si>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</si>
  <si>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</si>
  <si>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</si>
  <si>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</si>
  <si>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</si>
  <si>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</si>
  <si>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</si>
  <si>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</si>
  <si>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</si>
  <si>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</si>
  <si>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</si>
  <si>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</si>
  <si>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</si>
  <si>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</si>
  <si>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</si>
  <si>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</si>
  <si>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</si>
  <si>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</si>
  <si>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</si>
  <si>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</si>
  <si>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</si>
  <si>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</si>
  <si>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</si>
  <si>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</si>
  <si>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</si>
  <si>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</si>
  <si>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</si>
  <si>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</si>
  <si>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</si>
  <si>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</si>
  <si>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</si>
  <si>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</si>
  <si>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</si>
  <si>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</si>
  <si>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</si>
  <si>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</si>
  <si>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</si>
  <si>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</si>
  <si>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</si>
  <si>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</si>
  <si>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</si>
  <si>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</si>
  <si>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</si>
  <si>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</si>
  <si>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</si>
  <si>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</si>
  <si>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</si>
  <si>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</si>
  <si>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</si>
  <si>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</si>
  <si>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</si>
  <si>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</si>
  <si>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</si>
  <si>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</si>
  <si>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</si>
  <si>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</si>
  <si>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</si>
  <si>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</si>
  <si>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</si>
  <si>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</si>
  <si>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</si>
  <si>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</si>
  <si>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</si>
  <si>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</si>
  <si>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</si>
  <si>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</si>
  <si>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</si>
  <si>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</si>
  <si>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</si>
  <si>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</si>
  <si>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</si>
  <si>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</si>
  <si>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</si>
  <si>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</si>
  <si>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</si>
  <si>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</si>
  <si>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</si>
  <si>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</si>
  <si>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</si>
  <si>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</si>
  <si>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</si>
  <si>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</si>
  <si>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</si>
  <si>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</si>
  <si>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</si>
  <si>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</si>
  <si>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</si>
  <si>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</si>
  <si>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</si>
  <si>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</si>
  <si>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</si>
  <si>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</si>
  <si>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</si>
  <si>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</si>
  <si>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</si>
  <si>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</si>
  <si>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</si>
  <si>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</si>
  <si>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</si>
  <si>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</si>
  <si>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</si>
  <si>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</si>
  <si>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</si>
  <si>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</si>
  <si>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</si>
  <si>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</si>
  <si>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</si>
  <si>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</si>
  <si>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</si>
  <si>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</si>
  <si>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</si>
  <si>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</si>
  <si>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</si>
  <si>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</si>
  <si>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</si>
  <si>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</si>
  <si>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</si>
  <si>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</si>
  <si>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</si>
  <si>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</si>
  <si>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</si>
  <si>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</si>
  <si>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</si>
  <si>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</si>
  <si>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</si>
  <si>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</si>
  <si>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</si>
  <si>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</si>
  <si>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</si>
  <si>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</si>
  <si>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</si>
  <si>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</si>
  <si>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</si>
  <si>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</si>
  <si>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</si>
  <si>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</si>
  <si>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</si>
  <si>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</si>
  <si>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</si>
  <si>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</si>
  <si>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</si>
  <si>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</si>
  <si>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</si>
  <si>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</si>
  <si>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</si>
  <si>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</si>
  <si>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</si>
  <si>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</si>
  <si>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</si>
  <si>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</si>
  <si>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</si>
  <si>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</si>
  <si>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</si>
  <si>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</si>
  <si>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</si>
  <si>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</si>
  <si>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</si>
  <si>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</si>
  <si>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</si>
  <si>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</si>
  <si>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</si>
  <si>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</si>
  <si>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</si>
  <si>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</si>
  <si>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</si>
  <si>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</si>
  <si>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</si>
  <si>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</si>
  <si>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</si>
  <si>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</si>
  <si>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</si>
  <si>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</si>
  <si>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</si>
  <si>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</si>
  <si>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</si>
  <si>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</si>
  <si>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</si>
  <si>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</si>
  <si>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</si>
  <si>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</si>
  <si>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</si>
  <si>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</si>
  <si>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</si>
  <si>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</si>
  <si>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</si>
  <si>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</si>
  <si>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</si>
  <si>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</si>
  <si>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</si>
  <si>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</si>
  <si>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</si>
  <si>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</si>
  <si>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</si>
  <si>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</si>
  <si>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</si>
  <si>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</si>
  <si>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</si>
  <si>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</si>
  <si>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</si>
  <si>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</si>
  <si>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</si>
  <si>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</si>
  <si>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</si>
  <si>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</si>
  <si>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</si>
  <si>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</si>
  <si>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</si>
  <si>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</si>
  <si>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</si>
  <si>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</si>
  <si>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</si>
  <si>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</si>
  <si>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</si>
  <si>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</si>
  <si>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</si>
  <si>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</si>
  <si>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</si>
  <si>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</si>
  <si>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</si>
  <si>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</si>
  <si>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</si>
  <si>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</si>
  <si>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</si>
  <si>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</si>
  <si>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</si>
  <si>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</si>
  <si>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</si>
  <si>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</si>
  <si>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</si>
  <si>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</si>
  <si>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</si>
  <si>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</si>
  <si>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</si>
  <si>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</si>
  <si>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</si>
  <si>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</si>
  <si>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</si>
  <si>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</si>
  <si>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</si>
  <si>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</si>
  <si>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</si>
  <si>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</si>
  <si>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</si>
  <si>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</si>
  <si>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</si>
  <si>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</si>
  <si>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</si>
  <si>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</si>
  <si>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</si>
  <si>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</si>
  <si>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</si>
  <si>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</si>
  <si>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</si>
  <si>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</si>
  <si>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</si>
  <si>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</si>
  <si>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</si>
  <si>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</si>
  <si>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</si>
  <si>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</si>
  <si>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</si>
  <si>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</si>
  <si>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</si>
  <si>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</si>
  <si>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</si>
  <si>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</si>
  <si>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</si>
  <si>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</si>
  <si>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</si>
  <si>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</si>
  <si>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</si>
  <si>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</si>
  <si>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</si>
  <si>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</si>
  <si>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</si>
  <si>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</si>
  <si>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</si>
  <si>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</si>
  <si>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</si>
  <si>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</si>
  <si>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</si>
  <si>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</si>
  <si>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</si>
  <si>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</si>
  <si>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</si>
  <si>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</si>
  <si>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</si>
  <si>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</si>
  <si>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</si>
  <si>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</si>
  <si>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</si>
  <si>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</si>
  <si>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</si>
  <si>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</si>
  <si>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</si>
  <si>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</si>
  <si>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</si>
  <si>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</si>
  <si>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</si>
  <si>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</si>
  <si>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</si>
  <si>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</si>
  <si>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</si>
  <si>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</si>
  <si>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</si>
  <si>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</si>
  <si>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</si>
  <si>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</si>
  <si>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</si>
  <si>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</si>
  <si>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</si>
  <si>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</si>
  <si>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</si>
  <si>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</si>
  <si>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</si>
  <si>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</si>
  <si>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</si>
  <si>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</si>
  <si>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</si>
  <si>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</si>
  <si>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</si>
  <si>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</si>
  <si>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</si>
  <si>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</si>
  <si>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</si>
  <si>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</si>
  <si>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</si>
  <si>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</si>
  <si>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</si>
  <si>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</si>
  <si>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</si>
  <si>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</si>
  <si>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</si>
  <si>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</si>
  <si>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</si>
  <si>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</si>
  <si>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</si>
  <si>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</si>
  <si>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</si>
  <si>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</si>
  <si>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</si>
  <si>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</si>
  <si>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</si>
  <si>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</si>
  <si>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</si>
  <si>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</si>
  <si>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</si>
  <si>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</si>
  <si>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</si>
  <si>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</si>
  <si>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</si>
  <si>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</si>
  <si>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</si>
  <si>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</si>
  <si>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</si>
  <si>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</si>
  <si>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</si>
  <si>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</si>
  <si>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</si>
  <si>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</si>
  <si>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</si>
  <si>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</si>
  <si>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</si>
  <si>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</si>
  <si>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</si>
  <si>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</si>
  <si>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</si>
  <si>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</si>
  <si>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</si>
  <si>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</si>
  <si>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</si>
  <si>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</si>
  <si>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</si>
  <si>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</si>
  <si>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</si>
  <si>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</si>
  <si>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</si>
  <si>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</si>
  <si>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</si>
  <si>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</si>
  <si>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</si>
  <si>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</si>
  <si>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</si>
  <si>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</si>
  <si>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</si>
  <si>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</si>
  <si>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</si>
  <si>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</si>
  <si>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</si>
  <si>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</si>
  <si>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</si>
  <si>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</si>
  <si>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</si>
  <si>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</si>
  <si>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</si>
  <si>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</si>
  <si>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</si>
  <si>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</si>
  <si>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</si>
  <si>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</si>
  <si>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</si>
  <si>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</si>
  <si>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</si>
  <si>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</si>
  <si>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</si>
  <si>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</si>
  <si>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</si>
  <si>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</si>
  <si>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</si>
  <si>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</si>
  <si>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</si>
  <si>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</si>
  <si>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</si>
  <si>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</si>
  <si>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</si>
  <si>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</si>
  <si>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</si>
  <si>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</si>
  <si>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</si>
  <si>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</si>
  <si>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</si>
  <si>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</si>
  <si>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</si>
  <si>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</si>
  <si>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</si>
  <si>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</si>
  <si>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</si>
  <si>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</si>
  <si>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</si>
  <si>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</si>
  <si>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</si>
  <si>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</si>
  <si>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</si>
  <si>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</si>
  <si>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</si>
  <si>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</si>
  <si>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</si>
  <si>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</si>
  <si>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</si>
  <si>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</si>
  <si>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</si>
  <si>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</si>
  <si>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</si>
  <si>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</si>
  <si>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</si>
  <si>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</si>
  <si>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</si>
  <si>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</si>
  <si>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</si>
  <si>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</si>
  <si>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</si>
  <si>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</si>
  <si>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</si>
  <si>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</si>
  <si>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</si>
  <si>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</si>
  <si>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</si>
  <si>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</si>
  <si>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</si>
  <si>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</si>
  <si>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</si>
  <si>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</si>
  <si>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</si>
  <si>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</si>
  <si>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</si>
  <si>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</si>
  <si>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</si>
  <si>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</si>
  <si>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</si>
  <si>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</si>
  <si>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</si>
  <si>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</si>
  <si>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</si>
  <si>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</si>
  <si>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</si>
  <si>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</si>
  <si>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</si>
  <si>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</si>
  <si>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</si>
  <si>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</si>
  <si>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</si>
  <si>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</si>
  <si>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</si>
  <si>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</si>
  <si>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</si>
  <si>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</si>
  <si>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</si>
  <si>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</si>
  <si>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</si>
  <si>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</si>
  <si>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</si>
  <si>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</si>
  <si>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</si>
  <si>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</si>
  <si>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</si>
  <si>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</si>
  <si>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</si>
  <si>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</si>
  <si>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</si>
  <si>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</si>
  <si>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</si>
  <si>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</si>
  <si>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</si>
  <si>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</si>
  <si>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</si>
  <si>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</si>
  <si>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</si>
  <si>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</si>
  <si>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</si>
  <si>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</si>
  <si>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</si>
  <si>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</si>
  <si>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</si>
  <si>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</si>
  <si>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</si>
  <si>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</si>
  <si>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</si>
  <si>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</si>
  <si>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</si>
  <si>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</si>
  <si>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</si>
  <si>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</si>
  <si>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</si>
  <si>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</si>
  <si>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</si>
  <si>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</si>
  <si>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</si>
  <si>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</si>
  <si>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</si>
  <si>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</si>
  <si>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</si>
  <si>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</si>
  <si>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</si>
  <si>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</si>
  <si>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</si>
  <si>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</si>
  <si>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</si>
  <si>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</si>
  <si>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</si>
  <si>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</si>
  <si>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</si>
  <si>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</si>
  <si>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</si>
  <si>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</si>
  <si>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</si>
  <si>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</si>
  <si>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</si>
  <si>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</si>
  <si>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</si>
  <si>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</si>
  <si>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</si>
  <si>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</si>
  <si>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</si>
  <si>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</si>
  <si>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</si>
  <si>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</si>
  <si>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</si>
  <si>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</si>
  <si>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</si>
  <si>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</si>
  <si>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</si>
  <si>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</si>
  <si>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</si>
  <si>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</si>
  <si>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</si>
  <si>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</si>
  <si>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</si>
  <si>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</si>
  <si>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</si>
  <si>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</si>
  <si>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</si>
  <si>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</si>
  <si>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</si>
  <si>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</si>
  <si>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</si>
  <si>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</si>
  <si>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</si>
  <si>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</si>
  <si>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</si>
  <si>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</si>
  <si>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</si>
  <si>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</si>
  <si>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</si>
  <si>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</si>
  <si>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</si>
  <si>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</si>
  <si>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</si>
  <si>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</si>
  <si>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</si>
  <si>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</si>
  <si>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</si>
  <si>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</si>
  <si>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</si>
  <si>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</si>
  <si>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</si>
  <si>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</si>
  <si>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</si>
  <si>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</si>
  <si>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</si>
  <si>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</si>
  <si>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</si>
  <si>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</si>
  <si>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</si>
  <si>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</si>
  <si>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</si>
  <si>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</si>
  <si>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</si>
  <si>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</si>
  <si>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</si>
  <si>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</si>
  <si>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</si>
  <si>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</si>
  <si>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</si>
  <si>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</si>
  <si>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</si>
  <si>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</si>
  <si>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</si>
  <si>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</si>
  <si>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</si>
  <si>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</si>
  <si>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</si>
  <si>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</si>
  <si>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</si>
  <si>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</si>
  <si>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</si>
  <si>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</si>
  <si>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</si>
  <si>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</si>
  <si>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</si>
  <si>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</si>
  <si>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</si>
  <si>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</si>
  <si>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</si>
  <si>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</si>
  <si>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</si>
  <si>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</si>
  <si>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</si>
  <si>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</si>
  <si>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</si>
  <si>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</si>
  <si>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</si>
  <si>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</si>
  <si>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</si>
  <si>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</si>
  <si>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</si>
  <si>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</si>
  <si>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</si>
  <si>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</si>
  <si>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</si>
  <si>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</si>
  <si>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</si>
  <si>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</si>
  <si>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</si>
  <si>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</si>
  <si>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</si>
  <si>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</si>
  <si>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</si>
  <si>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</si>
  <si>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</si>
  <si>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</si>
  <si>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</si>
  <si>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</si>
  <si>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</si>
  <si>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</si>
  <si>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</si>
  <si>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</si>
  <si>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</si>
  <si>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</si>
  <si>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</si>
  <si>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</si>
  <si>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</si>
  <si>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</si>
  <si>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</si>
  <si>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</si>
  <si>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</si>
  <si>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</si>
  <si>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</si>
  <si>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</si>
  <si>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</si>
  <si>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</si>
  <si>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</si>
  <si>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</si>
  <si>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</si>
  <si>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</si>
  <si>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</si>
  <si>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</si>
  <si>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</si>
  <si>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</si>
  <si>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</si>
  <si>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</si>
  <si>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</si>
  <si>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</si>
  <si>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</si>
  <si>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</si>
  <si>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</si>
  <si>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</si>
  <si>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</si>
  <si>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</si>
  <si>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</si>
  <si>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</si>
  <si>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</si>
  <si>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</si>
  <si>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</si>
  <si>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</si>
  <si>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</si>
  <si>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</si>
  <si>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</si>
  <si>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</si>
  <si>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</si>
  <si>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</si>
  <si>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</si>
  <si>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</si>
  <si>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</si>
  <si>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</si>
  <si>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</si>
  <si>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</si>
  <si>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</si>
  <si>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</si>
  <si>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</si>
  <si>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</si>
  <si>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</si>
  <si>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</si>
  <si>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</si>
  <si>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</si>
  <si>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</si>
  <si>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</si>
  <si>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</si>
  <si>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</si>
  <si>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</si>
  <si>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</si>
  <si>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</si>
  <si>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</si>
  <si>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</si>
  <si>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</si>
  <si>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</si>
  <si>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</si>
  <si>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</si>
  <si>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</si>
  <si>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</si>
  <si>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</si>
  <si>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</si>
  <si>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</si>
  <si>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</si>
  <si>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</si>
  <si>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</si>
  <si>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</si>
  <si>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</si>
  <si>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</si>
  <si>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</si>
  <si>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</si>
  <si>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</si>
  <si>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</si>
  <si>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</si>
  <si>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</si>
  <si>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</si>
  <si>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</si>
  <si>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</si>
  <si>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</si>
  <si>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</si>
  <si>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</si>
  <si>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</si>
  <si>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</si>
  <si>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</si>
  <si>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</si>
  <si>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</si>
  <si>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</si>
  <si>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</si>
  <si>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</si>
  <si>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</si>
  <si>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</si>
  <si>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</si>
  <si>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</si>
  <si>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</si>
  <si>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</si>
  <si>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</si>
  <si>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</si>
  <si>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</si>
  <si>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</si>
  <si>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</si>
  <si>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</si>
  <si>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</si>
  <si>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</si>
  <si>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</si>
  <si>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</si>
  <si>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</si>
  <si>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</si>
  <si>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</si>
  <si>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</si>
  <si>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</si>
  <si>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</si>
  <si>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</si>
  <si>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</si>
  <si>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</si>
  <si>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</si>
  <si>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</si>
  <si>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</si>
  <si>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</si>
  <si>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</si>
  <si>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</si>
  <si>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</si>
  <si>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</si>
  <si>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</si>
  <si>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</si>
  <si>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</si>
  <si>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</si>
  <si>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</si>
  <si>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</si>
  <si>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</si>
  <si>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</si>
  <si>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</si>
  <si>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</si>
  <si>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</si>
  <si>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</si>
  <si>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</si>
  <si>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</si>
  <si>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</si>
  <si>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</si>
  <si>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</si>
  <si>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</si>
  <si>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</si>
  <si>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</si>
  <si>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</si>
  <si>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</si>
  <si>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</si>
  <si>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</si>
  <si>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</si>
  <si>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</si>
  <si>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</si>
  <si>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</si>
  <si>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</si>
  <si>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</si>
  <si>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</si>
  <si>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</si>
  <si>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</si>
  <si>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</si>
  <si>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</si>
  <si>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</si>
  <si>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</si>
  <si>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</si>
  <si>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</si>
  <si>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</si>
  <si>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</si>
  <si>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</si>
  <si>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</si>
  <si>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</si>
  <si>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</si>
  <si>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</si>
  <si>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</si>
  <si>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</si>
  <si>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</si>
  <si>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</si>
  <si>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</si>
  <si>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</si>
  <si>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</si>
  <si>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</si>
  <si>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</si>
  <si>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</si>
  <si>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</si>
  <si>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</si>
  <si>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</si>
  <si>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</si>
  <si>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</si>
  <si>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</si>
  <si>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</si>
  <si>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</si>
  <si>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</si>
  <si>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</si>
  <si>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</si>
  <si>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</si>
  <si>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</si>
  <si>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</si>
  <si>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</si>
  <si>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</si>
  <si>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</si>
  <si>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</si>
  <si>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</si>
  <si>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</si>
  <si>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</si>
  <si>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</si>
  <si>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</si>
  <si>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</si>
  <si>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</si>
  <si>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</si>
  <si>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</si>
  <si>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</si>
  <si>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</si>
  <si>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</si>
  <si>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</si>
  <si>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</si>
  <si>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</si>
  <si>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</si>
  <si>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</si>
  <si>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</si>
  <si>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</si>
  <si>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</si>
  <si>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</si>
  <si>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</si>
  <si>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</si>
  <si>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</si>
  <si>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</si>
  <si>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</si>
  <si>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</si>
  <si>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</si>
  <si>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</si>
  <si>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</si>
  <si>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</si>
  <si>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</si>
  <si>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</si>
  <si>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</si>
  <si>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</si>
  <si>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</si>
  <si>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</si>
  <si>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</si>
  <si>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</si>
  <si>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</si>
  <si>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</si>
  <si>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</si>
  <si>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</si>
  <si>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</si>
  <si>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</si>
  <si>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</si>
  <si>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</si>
  <si>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</si>
  <si>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</si>
  <si>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</si>
  <si>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</si>
  <si>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</si>
  <si>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</si>
  <si>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</si>
  <si>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</si>
  <si>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</si>
  <si>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</si>
  <si>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</si>
  <si>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</si>
  <si>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</si>
  <si>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</si>
  <si>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</si>
  <si>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</si>
  <si>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</si>
  <si>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</si>
  <si>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</si>
  <si>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</si>
  <si>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</si>
  <si>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</si>
  <si>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</si>
  <si>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</si>
  <si>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</si>
  <si>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</si>
  <si>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</si>
  <si>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</si>
  <si>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</si>
  <si>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</si>
  <si>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</si>
  <si>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</si>
  <si>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</si>
  <si>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</si>
  <si>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</si>
  <si>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</si>
  <si>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</si>
  <si>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</si>
  <si>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</si>
  <si>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</si>
  <si>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</si>
  <si>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</si>
  <si>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</si>
  <si>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</si>
  <si>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</si>
  <si>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</si>
  <si>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</si>
  <si>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</si>
  <si>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</si>
  <si>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</si>
  <si>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</si>
  <si>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</si>
  <si>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</si>
  <si>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</si>
  <si>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</si>
  <si>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</si>
  <si>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</si>
  <si>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</si>
  <si>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</si>
  <si>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</si>
  <si>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</si>
  <si>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</si>
  <si>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</si>
  <si>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</si>
  <si>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</si>
  <si>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</si>
  <si>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</si>
  <si>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</si>
  <si>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</si>
  <si>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</si>
  <si>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</si>
  <si>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</si>
  <si>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</si>
  <si>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</si>
  <si>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</si>
  <si>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</si>
  <si>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</si>
  <si>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</si>
  <si>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</si>
  <si>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</si>
  <si>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</si>
  <si>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</si>
  <si>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</si>
  <si>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</si>
  <si>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</si>
  <si>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</si>
  <si>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</si>
  <si>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</si>
  <si>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</si>
  <si>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</si>
  <si>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</si>
  <si>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</si>
  <si>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</si>
  <si>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</si>
  <si>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</si>
  <si>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</si>
  <si>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</si>
  <si>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</si>
  <si>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</si>
  <si>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</si>
  <si>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</si>
  <si>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</si>
  <si>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</si>
  <si>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</si>
  <si>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</si>
  <si>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</si>
  <si>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</si>
  <si>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</si>
  <si>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</si>
  <si>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</si>
  <si>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</si>
  <si>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</si>
  <si>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</si>
  <si>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</si>
  <si>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</si>
  <si>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</si>
  <si>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</si>
  <si>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</si>
  <si>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</si>
  <si>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</si>
  <si>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</si>
  <si>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</si>
  <si>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</si>
  <si>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</si>
  <si>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</si>
  <si>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</si>
  <si>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</si>
  <si>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</si>
  <si>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</si>
  <si>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</si>
  <si>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</si>
  <si>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</si>
  <si>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</si>
  <si>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</si>
  <si>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</si>
  <si>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</si>
  <si>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</si>
  <si>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</si>
  <si>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</si>
  <si>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</si>
  <si>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</si>
  <si>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</si>
  <si>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</si>
  <si>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</si>
  <si>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</si>
  <si>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</si>
  <si>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</si>
  <si>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</si>
  <si>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</si>
  <si>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</si>
  <si>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</si>
  <si>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</si>
  <si>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</si>
  <si>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</si>
  <si>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</si>
  <si>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</si>
  <si>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</si>
  <si>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</si>
  <si>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</si>
  <si>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</si>
  <si>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</si>
  <si>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</si>
  <si>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</si>
  <si>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</si>
  <si>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</si>
  <si>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</si>
  <si>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</si>
  <si>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</si>
  <si>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</si>
  <si>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</si>
  <si>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</si>
  <si>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</si>
  <si>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</si>
  <si>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</si>
  <si>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</si>
  <si>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</si>
  <si>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</si>
  <si>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</si>
  <si>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</si>
  <si>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</si>
  <si>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</si>
  <si>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</si>
  <si>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</si>
  <si>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</si>
  <si>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</si>
  <si>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</si>
  <si>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</si>
  <si>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</si>
  <si>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</si>
  <si>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</si>
  <si>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</si>
  <si>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</si>
  <si>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</si>
  <si>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</si>
  <si>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</si>
  <si>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</si>
  <si>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</si>
  <si>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</si>
  <si>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</si>
  <si>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</si>
  <si>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</si>
  <si>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</si>
  <si>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</si>
  <si>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</si>
  <si>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</si>
  <si>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</si>
  <si>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</si>
  <si>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</si>
  <si>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</si>
  <si>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</si>
  <si>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</si>
  <si>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</si>
  <si>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</si>
  <si>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</si>
  <si>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</si>
  <si>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</si>
  <si>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</si>
  <si>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</si>
  <si>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</si>
  <si>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</si>
  <si>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</si>
  <si>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</si>
  <si>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</si>
  <si>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</si>
  <si>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</si>
  <si>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</si>
  <si>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</si>
  <si>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</si>
  <si>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</si>
  <si>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</si>
  <si>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</si>
  <si>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</si>
  <si>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</si>
  <si>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</si>
  <si>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</si>
  <si>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</si>
  <si>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</si>
  <si>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</si>
  <si>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</si>
  <si>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</si>
  <si>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</si>
  <si>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</si>
  <si>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</si>
  <si>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</si>
  <si>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</si>
  <si>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</si>
  <si>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</si>
  <si>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</si>
  <si>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</si>
  <si>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</si>
  <si>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</si>
  <si>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</si>
  <si>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</si>
  <si>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</si>
  <si>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</si>
  <si>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</si>
  <si>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</si>
  <si>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</si>
  <si>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</si>
  <si>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</si>
  <si>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</si>
  <si>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</si>
  <si>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</si>
  <si>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</si>
  <si>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</si>
  <si>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</si>
  <si>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</si>
  <si>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</si>
  <si>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</si>
  <si>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</si>
  <si>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</si>
  <si>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</si>
  <si>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</si>
  <si>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</si>
  <si>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</si>
  <si>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</si>
  <si>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</si>
  <si>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</si>
  <si>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</si>
  <si>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</si>
  <si>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</si>
  <si>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</si>
  <si>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</si>
  <si>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</si>
  <si>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</si>
  <si>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</si>
  <si>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</si>
  <si>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</si>
  <si>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</si>
  <si>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</si>
  <si>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</si>
  <si>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</si>
  <si>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</si>
  <si>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</si>
  <si>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</si>
  <si>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</si>
  <si>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</si>
  <si>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</si>
  <si>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</si>
  <si>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</si>
  <si>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</si>
  <si>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</si>
  <si>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</si>
  <si>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</si>
  <si>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</si>
  <si>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</si>
  <si>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</si>
  <si>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</si>
  <si>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</si>
  <si>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</si>
  <si>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</si>
  <si>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</si>
  <si>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</si>
  <si>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</si>
  <si>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</si>
  <si>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</si>
  <si>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</si>
  <si>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</si>
  <si>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</si>
  <si>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</si>
  <si>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</si>
  <si>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</si>
  <si>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</si>
  <si>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</si>
  <si>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</si>
  <si>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</si>
  <si>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</si>
  <si>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</si>
  <si>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</si>
  <si>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</si>
  <si>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</si>
  <si>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</si>
  <si>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</si>
  <si>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</si>
  <si>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</si>
  <si>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</si>
  <si>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</si>
  <si>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</si>
  <si>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</si>
  <si>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</si>
  <si>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</si>
  <si>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</si>
  <si>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</si>
  <si>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</si>
  <si>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</si>
  <si>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</si>
  <si>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</si>
  <si>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</si>
  <si>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</si>
  <si>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</si>
  <si>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</si>
  <si>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</si>
  <si>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</si>
  <si>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</si>
  <si>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</si>
  <si>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</si>
  <si>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</si>
  <si>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</si>
  <si>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</si>
  <si>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</si>
  <si>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</si>
  <si>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</si>
  <si>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</si>
  <si>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</si>
  <si>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</si>
  <si>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</si>
  <si>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</si>
  <si>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</si>
  <si>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</si>
  <si>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</si>
  <si>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</si>
  <si>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</si>
  <si>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</si>
  <si>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</si>
  <si>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</si>
  <si>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</si>
  <si>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</si>
  <si>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</si>
  <si>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</si>
  <si>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</si>
  <si>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</si>
  <si>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</si>
  <si>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</si>
  <si>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</si>
  <si>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</si>
  <si>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</si>
  <si>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</si>
  <si>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</si>
  <si>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</si>
  <si>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</si>
  <si>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</si>
  <si>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</si>
  <si>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</si>
  <si>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</si>
  <si>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</si>
  <si>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</si>
  <si>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</si>
  <si>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</si>
  <si>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</si>
  <si>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</si>
  <si>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</si>
  <si>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</si>
  <si>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</si>
  <si>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</si>
  <si>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</si>
  <si>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</si>
  <si>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</si>
  <si>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</si>
  <si>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</si>
  <si>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</si>
  <si>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</si>
  <si>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</si>
  <si>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</si>
  <si>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</si>
  <si>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</si>
  <si>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</si>
  <si>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</si>
  <si>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</si>
  <si>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</si>
  <si>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</si>
  <si>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</si>
  <si>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</si>
  <si>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</si>
  <si>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</si>
  <si>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</si>
  <si>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</si>
  <si>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</si>
  <si>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</si>
  <si>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</si>
  <si>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</si>
  <si>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</si>
  <si>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</si>
  <si>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</si>
  <si>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</si>
  <si>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</si>
  <si>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</si>
  <si>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</si>
  <si>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</si>
  <si>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</si>
  <si>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</si>
  <si>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</si>
  <si>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</si>
  <si>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</si>
  <si>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</si>
  <si>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</si>
  <si>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</si>
  <si>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</si>
  <si>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</si>
  <si>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</si>
  <si>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</si>
  <si>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</si>
  <si>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</si>
  <si>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</si>
  <si>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</si>
  <si>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</si>
  <si>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</si>
  <si>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</si>
  <si>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</si>
  <si>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</si>
  <si>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</si>
  <si>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</si>
  <si>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</si>
  <si>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</si>
  <si>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</si>
  <si>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</si>
  <si>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</si>
  <si>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</si>
  <si>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</si>
  <si>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</si>
  <si>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</si>
  <si>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</si>
  <si>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</si>
  <si>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</si>
  <si>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</si>
  <si>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</si>
  <si>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</si>
  <si>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</si>
  <si>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</si>
  <si>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</si>
  <si>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</si>
  <si>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</si>
  <si>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</si>
  <si>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</si>
  <si>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</si>
  <si>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</si>
  <si>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</si>
  <si>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</si>
  <si>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</si>
  <si>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</si>
  <si>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</si>
  <si>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</si>
  <si>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</si>
  <si>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</si>
  <si>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</si>
  <si>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</si>
  <si>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</si>
  <si>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</si>
  <si>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</si>
  <si>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</si>
  <si>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</si>
  <si>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</si>
  <si>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</si>
  <si>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</si>
  <si>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</si>
  <si>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</si>
  <si>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</si>
  <si>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</si>
  <si>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</si>
  <si>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</si>
  <si>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</si>
  <si>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</si>
  <si>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</si>
  <si>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</si>
  <si>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</si>
  <si>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</si>
  <si>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</si>
  <si>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</si>
  <si>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</si>
  <si>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</si>
  <si>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</si>
  <si>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</si>
  <si>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</si>
  <si>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</si>
  <si>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</si>
  <si>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</si>
  <si>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</si>
  <si>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</si>
  <si>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</si>
  <si>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</si>
  <si>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</si>
  <si>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</si>
  <si>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</si>
  <si>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</si>
  <si>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</si>
  <si>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</si>
  <si>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</si>
  <si>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</si>
  <si>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</si>
  <si>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</si>
  <si>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</si>
  <si>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</si>
  <si>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</si>
  <si>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</si>
  <si>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</si>
  <si>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</si>
  <si>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</si>
  <si>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</si>
  <si>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</si>
  <si>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</si>
  <si>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</si>
  <si>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</si>
  <si>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</si>
  <si>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</si>
  <si>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</si>
  <si>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</si>
  <si>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</si>
  <si>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</si>
  <si>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</si>
  <si>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</si>
  <si>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</si>
  <si>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</si>
  <si>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</si>
  <si>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</si>
  <si>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</si>
  <si>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</si>
  <si>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</si>
  <si>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</si>
  <si>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</si>
  <si>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</si>
  <si>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</si>
  <si>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</si>
  <si>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</si>
  <si>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</si>
  <si>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</si>
  <si>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</si>
  <si>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</si>
  <si>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</si>
  <si>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</si>
  <si>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</si>
  <si>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</si>
  <si>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</si>
  <si>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</si>
  <si>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</si>
  <si>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</si>
  <si>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</si>
  <si>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</si>
  <si>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</si>
  <si>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</si>
  <si>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</si>
  <si>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</si>
  <si>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</si>
  <si>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</si>
  <si>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</si>
  <si>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</si>
  <si>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</si>
  <si>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</si>
  <si>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</si>
  <si>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</si>
  <si>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</si>
  <si>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</si>
  <si>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</si>
  <si>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</si>
  <si>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</si>
  <si>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</si>
  <si>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</si>
  <si>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</si>
  <si>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</si>
  <si>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</si>
  <si>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</si>
  <si>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</si>
  <si>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</si>
  <si>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</si>
  <si>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</si>
  <si>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</si>
  <si>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</si>
  <si>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</si>
  <si>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</si>
  <si>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</si>
  <si>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</si>
  <si>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</si>
  <si>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</si>
  <si>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</si>
  <si>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</si>
  <si>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</si>
  <si>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</si>
  <si>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</si>
  <si>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</si>
  <si>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</si>
  <si>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</si>
  <si>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</si>
  <si>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</si>
  <si>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</si>
  <si>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</si>
  <si>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</si>
  <si>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</si>
  <si>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</si>
  <si>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</si>
  <si>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</si>
  <si>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</si>
  <si>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</si>
  <si>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</si>
  <si>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</si>
  <si>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</si>
  <si>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</si>
  <si>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</si>
  <si>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</si>
  <si>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</si>
  <si>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</si>
  <si>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</si>
  <si>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</si>
  <si>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</si>
  <si>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</si>
  <si>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</si>
  <si>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</si>
  <si>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</si>
  <si>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</si>
  <si>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</si>
  <si>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</si>
  <si>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</si>
  <si>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</si>
  <si>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</si>
  <si>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</si>
  <si>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</si>
  <si>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</si>
  <si>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</si>
  <si>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</si>
  <si>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</si>
  <si>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</si>
  <si>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</si>
  <si>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</si>
  <si>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</si>
  <si>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</si>
  <si>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</si>
  <si>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</si>
  <si>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</si>
  <si>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</si>
  <si>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</si>
  <si>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</si>
  <si>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</si>
  <si>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</si>
  <si>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</si>
  <si>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</si>
  <si>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</si>
  <si>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</si>
  <si>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</si>
  <si>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</si>
  <si>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</si>
  <si>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</si>
  <si>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</si>
  <si>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</si>
  <si>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</si>
  <si>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</si>
  <si>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</si>
  <si>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</si>
  <si>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</si>
  <si>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</si>
  <si>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</si>
  <si>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</si>
  <si>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</si>
  <si>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</si>
  <si>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</si>
  <si>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</si>
  <si>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</si>
  <si>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</si>
  <si>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</si>
  <si>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</si>
  <si>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</si>
  <si>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</si>
  <si>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</si>
  <si>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</si>
  <si>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</si>
  <si>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</si>
  <si>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</si>
  <si>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</si>
  <si>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</si>
  <si>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</si>
  <si>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</si>
  <si>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</si>
  <si>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</si>
  <si>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</si>
  <si>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</si>
  <si>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</si>
  <si>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</si>
  <si>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</si>
  <si>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</si>
  <si>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</si>
  <si>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</si>
  <si>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</si>
  <si>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</si>
  <si>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</si>
  <si>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</si>
  <si>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</si>
  <si>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</si>
  <si>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</si>
  <si>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</si>
  <si>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</si>
  <si>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</si>
  <si>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</si>
  <si>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</si>
  <si>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</si>
  <si>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</si>
  <si>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</si>
  <si>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</si>
  <si>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</si>
  <si>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</si>
  <si>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</si>
  <si>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</si>
  <si>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</si>
  <si>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</si>
  <si>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</si>
  <si>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</si>
  <si>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</si>
  <si>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</si>
  <si>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</si>
  <si>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</si>
  <si>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</si>
  <si>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</si>
  <si>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</si>
  <si>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</si>
  <si>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</si>
  <si>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</si>
  <si>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</si>
  <si>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</si>
  <si>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</si>
  <si>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</si>
  <si>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</si>
  <si>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</si>
  <si>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</si>
  <si>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</si>
  <si>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</si>
  <si>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</si>
  <si>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</si>
  <si>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</si>
  <si>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</si>
  <si>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</si>
  <si>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</si>
  <si>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</si>
  <si>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</si>
  <si>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</si>
  <si>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</si>
  <si>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</si>
  <si>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</si>
  <si>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</si>
  <si>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</si>
  <si>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</si>
  <si>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</si>
  <si>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</si>
  <si>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</si>
  <si>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</si>
  <si>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</si>
  <si>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</si>
  <si>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</si>
  <si>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</si>
  <si>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</si>
  <si>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</si>
  <si>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</si>
  <si>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</si>
  <si>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</si>
  <si>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</si>
  <si>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</si>
  <si>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</si>
  <si>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</si>
  <si>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</si>
  <si>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</si>
  <si>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</si>
  <si>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</si>
  <si>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</si>
  <si>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</si>
  <si>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</si>
  <si>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</si>
  <si>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</si>
  <si>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</si>
  <si>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</si>
  <si>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</si>
  <si>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</si>
  <si>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</si>
  <si>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</si>
  <si>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</si>
  <si>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</si>
  <si>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</si>
  <si>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</si>
  <si>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</si>
  <si>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</si>
  <si>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</si>
  <si>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</si>
  <si>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</si>
  <si>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</si>
  <si>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</si>
  <si>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</si>
  <si>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</si>
  <si>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</si>
  <si>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</si>
  <si>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</si>
  <si>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</si>
  <si>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</si>
  <si>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</si>
  <si>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</si>
  <si>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</si>
  <si>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</si>
  <si>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</si>
  <si>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</si>
  <si>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</si>
  <si>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</si>
  <si>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</si>
  <si>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</si>
  <si>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</si>
  <si>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</si>
  <si>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</si>
  <si>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</si>
  <si>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</si>
  <si>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</si>
  <si>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</si>
  <si>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</si>
  <si>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</si>
  <si>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</si>
  <si>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</si>
  <si>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</si>
  <si>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</si>
  <si>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</si>
  <si>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</si>
  <si>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</si>
  <si>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</si>
  <si>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</si>
  <si>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</si>
  <si>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</si>
  <si>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</si>
  <si>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</si>
  <si>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</si>
  <si>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</si>
  <si>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</si>
  <si>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</si>
  <si>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</si>
  <si>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</si>
  <si>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</si>
  <si>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</si>
  <si>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</si>
  <si>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</si>
  <si>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</si>
  <si>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</si>
  <si>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</si>
  <si>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</si>
  <si>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</si>
  <si>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</si>
  <si>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</si>
  <si>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</si>
  <si>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</si>
  <si>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</si>
  <si>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</si>
  <si>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</si>
  <si>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</si>
  <si>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</si>
  <si>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</si>
  <si>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</si>
  <si>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</si>
  <si>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</si>
  <si>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</si>
  <si>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</si>
  <si>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</si>
  <si>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</si>
  <si>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</si>
  <si>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</si>
  <si>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</si>
  <si>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</si>
  <si>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</si>
  <si>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</si>
  <si>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</si>
  <si>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</si>
  <si>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</si>
  <si>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</si>
  <si>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</si>
  <si>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</si>
  <si>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</si>
  <si>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</si>
  <si>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</si>
  <si>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</si>
  <si>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</si>
  <si>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</si>
  <si>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</si>
  <si>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</si>
  <si>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</si>
  <si>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</si>
  <si>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</si>
  <si>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</si>
  <si>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</si>
  <si>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</si>
  <si>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</si>
  <si>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</si>
  <si>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</si>
  <si>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</si>
  <si>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</si>
  <si>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</si>
  <si>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</si>
  <si>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</si>
  <si>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</si>
  <si>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</si>
  <si>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</si>
  <si>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</si>
  <si>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</si>
  <si>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</si>
  <si>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</si>
  <si>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</si>
  <si>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</si>
  <si>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</si>
  <si>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</si>
  <si>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</si>
  <si>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</si>
  <si>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</si>
  <si>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</si>
  <si>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</si>
  <si>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</si>
  <si>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</si>
  <si>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</si>
  <si>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</si>
  <si>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</si>
  <si>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</si>
  <si>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</si>
  <si>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</si>
  <si>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</si>
  <si>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</si>
  <si>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</si>
  <si>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</si>
  <si>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</si>
  <si>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</si>
  <si>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</si>
  <si>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</si>
  <si>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</si>
  <si>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</si>
  <si>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</si>
  <si>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</si>
  <si>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</si>
  <si>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</si>
  <si>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</si>
  <si>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</si>
  <si>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мощности электрических приборов</t>
  </si>
  <si>
    <t>дерево, двойной раздельный</t>
  </si>
  <si>
    <t>Версия: 03.07.2017.012</t>
  </si>
  <si>
    <t>процентная ставка по кредиту</t>
  </si>
  <si>
    <t>ключевая ставка ЦБ РФ</t>
  </si>
  <si>
    <t>Солнечный бульвар, д. 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</si>
</sst>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cellStyleXfs>
  <cellXfs count="1889">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70"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7"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7" fontId="80" fillId="0" borderId="0" xfId="0" applyNumberFormat="1" applyFont="1" applyProtection="1">
      <protection hidden="1"/>
    </xf>
    <xf numFmtId="167"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6" fontId="0" fillId="5" borderId="11" xfId="0" applyNumberFormat="1" applyFill="1" applyBorder="1" applyAlignment="1">
      <alignment horizontal="center" vertical="center"/>
    </xf>
    <xf numFmtId="166" fontId="120" fillId="0" borderId="4" xfId="0" applyNumberFormat="1" applyFont="1" applyBorder="1" applyAlignment="1" applyProtection="1">
      <alignment horizontal="center" vertical="center" wrapText="1"/>
      <protection locked="0"/>
    </xf>
    <xf numFmtId="166" fontId="120" fillId="0" borderId="4" xfId="0" applyNumberFormat="1" applyFont="1" applyBorder="1" applyAlignment="1" applyProtection="1">
      <alignment horizontal="center" vertical="center"/>
      <protection locked="0"/>
    </xf>
    <xf numFmtId="166" fontId="118" fillId="0" borderId="5" xfId="0" applyNumberFormat="1" applyFont="1" applyBorder="1" applyAlignment="1" applyProtection="1">
      <alignment horizontal="center" vertical="center"/>
      <protection locked="0"/>
    </xf>
    <xf numFmtId="166" fontId="118" fillId="0" borderId="4" xfId="0" applyNumberFormat="1" applyFont="1" applyBorder="1" applyAlignment="1" applyProtection="1">
      <alignment horizontal="center" vertical="center" wrapText="1"/>
      <protection locked="0"/>
    </xf>
    <xf numFmtId="0" fontId="123" fillId="20" borderId="0" xfId="0" applyFont="1" applyFill="1"/>
    <xf numFmtId="166"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7" fontId="0" fillId="29" borderId="100" xfId="0" applyNumberFormat="1" applyFill="1" applyBorder="1" applyAlignment="1" applyProtection="1">
      <alignment horizontal="center" vertical="center"/>
      <protection hidden="1"/>
    </xf>
    <xf numFmtId="166" fontId="0" fillId="29" borderId="100" xfId="0" applyNumberFormat="1" applyFill="1" applyBorder="1" applyProtection="1">
      <protection hidden="1"/>
    </xf>
    <xf numFmtId="167" fontId="0" fillId="29" borderId="104" xfId="0" applyNumberFormat="1" applyFill="1" applyBorder="1" applyAlignment="1" applyProtection="1">
      <alignment horizontal="center" vertical="center"/>
      <protection hidden="1"/>
    </xf>
    <xf numFmtId="166" fontId="0" fillId="29" borderId="104" xfId="0" applyNumberFormat="1" applyFill="1" applyBorder="1" applyProtection="1">
      <protection hidden="1"/>
    </xf>
    <xf numFmtId="167" fontId="0" fillId="29" borderId="108" xfId="0" applyNumberFormat="1" applyFill="1" applyBorder="1" applyAlignment="1" applyProtection="1">
      <alignment horizontal="center" vertical="center"/>
      <protection hidden="1"/>
    </xf>
    <xf numFmtId="166" fontId="0" fillId="29" borderId="108" xfId="0" applyNumberFormat="1" applyFill="1" applyBorder="1" applyProtection="1">
      <protection hidden="1"/>
    </xf>
    <xf numFmtId="0" fontId="0" fillId="29" borderId="4" xfId="0" applyFill="1" applyBorder="1" applyProtection="1">
      <protection hidden="1"/>
    </xf>
    <xf numFmtId="167" fontId="0" fillId="29" borderId="4" xfId="0" applyNumberFormat="1" applyFill="1" applyBorder="1" applyAlignment="1" applyProtection="1">
      <alignment horizontal="center" vertical="center"/>
      <protection hidden="1"/>
    </xf>
    <xf numFmtId="167"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6"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2"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166" fontId="147" fillId="13" borderId="100" xfId="0" applyNumberFormat="1" applyFont="1" applyFill="1" applyBorder="1" applyAlignment="1" applyProtection="1">
      <alignment horizontal="right" vertical="center" wrapText="1"/>
      <protection locked="0"/>
    </xf>
    <xf numFmtId="166" fontId="147" fillId="13" borderId="104" xfId="0" applyNumberFormat="1" applyFont="1" applyFill="1" applyBorder="1" applyAlignment="1" applyProtection="1">
      <alignment horizontal="right" vertical="center" wrapText="1"/>
      <protection locked="0"/>
    </xf>
    <xf numFmtId="166" fontId="147" fillId="13" borderId="108" xfId="0" applyNumberFormat="1" applyFont="1" applyFill="1" applyBorder="1" applyAlignment="1" applyProtection="1">
      <alignment horizontal="right" vertical="center" wrapText="1"/>
      <protection locked="0"/>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117" fillId="21" borderId="4" xfId="0" applyFont="1" applyFill="1" applyBorder="1" applyAlignment="1">
      <alignment horizontal="center" vertical="center"/>
    </xf>
    <xf numFmtId="4" fontId="30" fillId="26" borderId="4" xfId="0" applyNumberFormat="1" applyFont="1" applyFill="1" applyBorder="1" applyProtection="1">
      <protection locked="0" hidden="1"/>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70"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0">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398"/>
          <c:y val="9.4835998260953576E-3"/>
        </c:manualLayout>
      </c:layout>
      <c:overlay val="0"/>
    </c:title>
    <c:autoTitleDeleted val="0"/>
    <c:plotArea>
      <c:layout>
        <c:manualLayout>
          <c:layoutTarget val="inner"/>
          <c:xMode val="edge"/>
          <c:yMode val="edge"/>
          <c:x val="0.47777753380381288"/>
          <c:y val="0.13340857209068577"/>
          <c:w val="0.49148631379248336"/>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расчет'!$D$42:$D$64</c:f>
              <c:strCache>
                <c:ptCount val="7"/>
                <c:pt idx="0">
                  <c:v>Повыш-е теплозащ. наружных стен</c:v>
                </c:pt>
                <c:pt idx="6">
                  <c:v>Установка узлов управления</c:v>
                </c:pt>
              </c:strCache>
            </c:strRef>
          </c:cat>
          <c:val>
            <c:numRef>
              <c:f>'Экономический расчет'!$E$42:$E$64</c:f>
              <c:numCache>
                <c:formatCode>0%</c:formatCode>
                <c:ptCount val="23"/>
                <c:pt idx="0">
                  <c:v>0.47773422608973676</c:v>
                </c:pt>
                <c:pt idx="1">
                  <c:v>0</c:v>
                </c:pt>
                <c:pt idx="2">
                  <c:v>0</c:v>
                </c:pt>
                <c:pt idx="3">
                  <c:v>0</c:v>
                </c:pt>
                <c:pt idx="4">
                  <c:v>0</c:v>
                </c:pt>
                <c:pt idx="5">
                  <c:v>0</c:v>
                </c:pt>
                <c:pt idx="6">
                  <c:v>0.5222657739102633</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339517208"/>
        <c:axId val="339517600"/>
      </c:barChart>
      <c:catAx>
        <c:axId val="339517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339517600"/>
        <c:crosses val="autoZero"/>
        <c:auto val="1"/>
        <c:lblAlgn val="ctr"/>
        <c:lblOffset val="100"/>
        <c:noMultiLvlLbl val="0"/>
      </c:catAx>
      <c:valAx>
        <c:axId val="339517600"/>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39517208"/>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6711.6</c:v>
                </c:pt>
                <c:pt idx="1">
                  <c:v>0.18454482462797378</c:v>
                </c:pt>
                <c:pt idx="2" formatCode="0">
                  <c:v>23760</c:v>
                </c:pt>
                <c:pt idx="3">
                  <c:v>0.65331441581152883</c:v>
                </c:pt>
                <c:pt idx="4" formatCode="0">
                  <c:v>5896.7999999999993</c:v>
                </c:pt>
                <c:pt idx="5">
                  <c:v>0.16214075956049759</c:v>
                </c:pt>
                <c:pt idx="6" formatCode="0.00">
                  <c:v>0</c:v>
                </c:pt>
                <c:pt idx="7" formatCode="0.00">
                  <c:v>5896.7999999999993</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179785.3628471464</c:v>
                </c:pt>
                <c:pt idx="1">
                  <c:v>80893.639793113922</c:v>
                </c:pt>
                <c:pt idx="2">
                  <c:v>145256.58217617005</c:v>
                </c:pt>
                <c:pt idx="3">
                  <c:v>68688.043778544205</c:v>
                </c:pt>
                <c:pt idx="4">
                  <c:v>156111.30555168787</c:v>
                </c:pt>
                <c:pt idx="5">
                  <c:v>60763.425282385142</c:v>
                </c:pt>
                <c:pt idx="6">
                  <c:v>87547.43623265432</c:v>
                </c:pt>
                <c:pt idx="7">
                  <c:v>21284.635414569897</c:v>
                </c:pt>
                <c:pt idx="8">
                  <c:v>0</c:v>
                </c:pt>
                <c:pt idx="9">
                  <c:v>0</c:v>
                </c:pt>
                <c:pt idx="10">
                  <c:v>0</c:v>
                </c:pt>
                <c:pt idx="11">
                  <c:v>0</c:v>
                </c:pt>
                <c:pt idx="12">
                  <c:v>0</c:v>
                </c:pt>
                <c:pt idx="13">
                  <c:v>0</c:v>
                </c:pt>
                <c:pt idx="14">
                  <c:v>0</c:v>
                </c:pt>
                <c:pt idx="15">
                  <c:v>0</c:v>
                </c:pt>
                <c:pt idx="16">
                  <c:v>0</c:v>
                </c:pt>
                <c:pt idx="17">
                  <c:v>0</c:v>
                </c:pt>
                <c:pt idx="18">
                  <c:v>59779.425365148018</c:v>
                </c:pt>
                <c:pt idx="19">
                  <c:v>33183.411182348616</c:v>
                </c:pt>
                <c:pt idx="20">
                  <c:v>156496.60523438363</c:v>
                </c:pt>
                <c:pt idx="21">
                  <c:v>59164.071321855306</c:v>
                </c:pt>
                <c:pt idx="22">
                  <c:v>155470.44587324266</c:v>
                </c:pt>
                <c:pt idx="23">
                  <c:v>65236.806284769307</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55813.254098181234</c:v>
                </c:pt>
                <c:pt idx="1">
                  <c:v>46401.463461642146</c:v>
                </c:pt>
                <c:pt idx="2">
                  <c:v>45094.007665822632</c:v>
                </c:pt>
                <c:pt idx="3">
                  <c:v>39400.202065244528</c:v>
                </c:pt>
                <c:pt idx="4">
                  <c:v>48463.789411838996</c:v>
                </c:pt>
                <c:pt idx="5">
                  <c:v>34854.555503445496</c:v>
                </c:pt>
                <c:pt idx="6">
                  <c:v>27178.560182631754</c:v>
                </c:pt>
                <c:pt idx="7">
                  <c:v>12209.096228200775</c:v>
                </c:pt>
                <c:pt idx="8">
                  <c:v>0</c:v>
                </c:pt>
                <c:pt idx="9">
                  <c:v>0</c:v>
                </c:pt>
                <c:pt idx="10">
                  <c:v>0</c:v>
                </c:pt>
                <c:pt idx="11">
                  <c:v>0</c:v>
                </c:pt>
                <c:pt idx="12">
                  <c:v>0</c:v>
                </c:pt>
                <c:pt idx="13">
                  <c:v>0</c:v>
                </c:pt>
                <c:pt idx="14">
                  <c:v>0</c:v>
                </c:pt>
                <c:pt idx="15">
                  <c:v>0</c:v>
                </c:pt>
                <c:pt idx="16">
                  <c:v>0</c:v>
                </c:pt>
                <c:pt idx="17">
                  <c:v>0</c:v>
                </c:pt>
                <c:pt idx="18">
                  <c:v>18558.152926970746</c:v>
                </c:pt>
                <c:pt idx="19">
                  <c:v>18558.152926970746</c:v>
                </c:pt>
                <c:pt idx="20">
                  <c:v>48583.403315627882</c:v>
                </c:pt>
                <c:pt idx="21">
                  <c:v>33937.148837710629</c:v>
                </c:pt>
                <c:pt idx="22">
                  <c:v>48264.83848775988</c:v>
                </c:pt>
                <c:pt idx="23">
                  <c:v>37420.53504971142</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14508.239614605616</c:v>
                </c:pt>
                <c:pt idx="1">
                  <c:v>7223.4998613466005</c:v>
                </c:pt>
                <c:pt idx="2" formatCode="0">
                  <c:v>11684.923019557198</c:v>
                </c:pt>
                <c:pt idx="3">
                  <c:v>6042.2931361098208</c:v>
                </c:pt>
                <c:pt idx="4" formatCode="0">
                  <c:v>12230.720312753881</c:v>
                </c:pt>
                <c:pt idx="5">
                  <c:v>5006.1012885218188</c:v>
                </c:pt>
                <c:pt idx="6" formatCode="0">
                  <c:v>6723.511553753443</c:v>
                </c:pt>
                <c:pt idx="7">
                  <c:v>1528.194747339272</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3792.4077150728062</c:v>
                </c:pt>
                <c:pt idx="19">
                  <c:v>2261.2987082278969</c:v>
                </c:pt>
                <c:pt idx="20" formatCode="0">
                  <c:v>12046.390252777324</c:v>
                </c:pt>
                <c:pt idx="21">
                  <c:v>4884.352475860268</c:v>
                </c:pt>
                <c:pt idx="22" formatCode="0">
                  <c:v>12394.727736449147</c:v>
                </c:pt>
                <c:pt idx="23">
                  <c:v>5498.8565269273249</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28338.05102239046</c:v>
                </c:pt>
                <c:pt idx="1">
                  <c:v>24102.24809266187</c:v>
                </c:pt>
                <c:pt idx="2" formatCode="0">
                  <c:v>23423.118134032855</c:v>
                </c:pt>
                <c:pt idx="3">
                  <c:v>21769.772470791366</c:v>
                </c:pt>
                <c:pt idx="4" formatCode="0">
                  <c:v>29850.51906704298</c:v>
                </c:pt>
                <c:pt idx="5">
                  <c:v>24102.24809266187</c:v>
                </c:pt>
                <c:pt idx="6" formatCode="0">
                  <c:v>18675.831361665554</c:v>
                </c:pt>
                <c:pt idx="7">
                  <c:v>11662.378109352518</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24160.325219650153</c:v>
                </c:pt>
                <c:pt idx="19">
                  <c:v>19437.296848920865</c:v>
                </c:pt>
                <c:pt idx="20" formatCode="0">
                  <c:v>32988.719224621302</c:v>
                </c:pt>
                <c:pt idx="21">
                  <c:v>23324.756218705035</c:v>
                </c:pt>
                <c:pt idx="22" formatCode="0">
                  <c:v>26667.745268872022</c:v>
                </c:pt>
                <c:pt idx="23">
                  <c:v>24102.24809266187</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344153184"/>
        <c:axId val="344153576"/>
      </c:barChart>
      <c:catAx>
        <c:axId val="3441531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4153576"/>
        <c:crosses val="autoZero"/>
        <c:auto val="1"/>
        <c:lblAlgn val="ctr"/>
        <c:lblOffset val="100"/>
        <c:noMultiLvlLbl val="0"/>
      </c:catAx>
      <c:valAx>
        <c:axId val="344153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4153184"/>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46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230240.41139699999</c:v>
                </c:pt>
                <c:pt idx="1">
                  <c:v>110416.35502344079</c:v>
                </c:pt>
                <c:pt idx="2">
                  <c:v>181919.08605399998</c:v>
                </c:pt>
                <c:pt idx="3">
                  <c:v>92360.766509107183</c:v>
                </c:pt>
                <c:pt idx="4">
                  <c:v>198451.83815799997</c:v>
                </c:pt>
                <c:pt idx="5">
                  <c:v>76521.833981690608</c:v>
                </c:pt>
                <c:pt idx="6">
                  <c:v>116800.58311200001</c:v>
                </c:pt>
                <c:pt idx="7">
                  <c:v>23359.548280757423</c:v>
                </c:pt>
                <c:pt idx="8">
                  <c:v>8947.9149859999961</c:v>
                </c:pt>
                <c:pt idx="9">
                  <c:v>0</c:v>
                </c:pt>
                <c:pt idx="10">
                  <c:v>7391.1185340000011</c:v>
                </c:pt>
                <c:pt idx="11">
                  <c:v>0</c:v>
                </c:pt>
                <c:pt idx="12">
                  <c:v>11018.681843000002</c:v>
                </c:pt>
                <c:pt idx="13">
                  <c:v>0</c:v>
                </c:pt>
                <c:pt idx="14">
                  <c:v>16032.716764999997</c:v>
                </c:pt>
                <c:pt idx="15">
                  <c:v>0</c:v>
                </c:pt>
                <c:pt idx="16">
                  <c:v>14124.320989999998</c:v>
                </c:pt>
                <c:pt idx="17">
                  <c:v>0</c:v>
                </c:pt>
                <c:pt idx="18">
                  <c:v>67415.717529000001</c:v>
                </c:pt>
                <c:pt idx="19">
                  <c:v>34565.565968626397</c:v>
                </c:pt>
                <c:pt idx="20">
                  <c:v>203465.60559000002</c:v>
                </c:pt>
                <c:pt idx="21">
                  <c:v>74660.81641672118</c:v>
                </c:pt>
                <c:pt idx="22">
                  <c:v>194593.26118100001</c:v>
                </c:pt>
                <c:pt idx="23">
                  <c:v>84053.949768746184</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34686.336602999996</c:v>
                </c:pt>
                <c:pt idx="1">
                  <c:v>34686.336602999996</c:v>
                </c:pt>
                <c:pt idx="2">
                  <c:v>33577.835945999999</c:v>
                </c:pt>
                <c:pt idx="3">
                  <c:v>33577.835945999999</c:v>
                </c:pt>
                <c:pt idx="4">
                  <c:v>31667.482842000001</c:v>
                </c:pt>
                <c:pt idx="5">
                  <c:v>31667.482842000005</c:v>
                </c:pt>
                <c:pt idx="6">
                  <c:v>33051.966887999995</c:v>
                </c:pt>
                <c:pt idx="7">
                  <c:v>33051.966887999995</c:v>
                </c:pt>
                <c:pt idx="8">
                  <c:v>38835.103014</c:v>
                </c:pt>
                <c:pt idx="9">
                  <c:v>38835.103014</c:v>
                </c:pt>
                <c:pt idx="10">
                  <c:v>34647.842465999995</c:v>
                </c:pt>
                <c:pt idx="11">
                  <c:v>34647.842465999995</c:v>
                </c:pt>
                <c:pt idx="12">
                  <c:v>32898.524157</c:v>
                </c:pt>
                <c:pt idx="13">
                  <c:v>32898.524157</c:v>
                </c:pt>
                <c:pt idx="14">
                  <c:v>29126.573235</c:v>
                </c:pt>
                <c:pt idx="15">
                  <c:v>29126.573234999996</c:v>
                </c:pt>
                <c:pt idx="16">
                  <c:v>31034.969010000001</c:v>
                </c:pt>
                <c:pt idx="17">
                  <c:v>31034.969010000004</c:v>
                </c:pt>
                <c:pt idx="18">
                  <c:v>29777.355471000003</c:v>
                </c:pt>
                <c:pt idx="19">
                  <c:v>29777.355471000006</c:v>
                </c:pt>
                <c:pt idx="20">
                  <c:v>31260.358409999993</c:v>
                </c:pt>
                <c:pt idx="21">
                  <c:v>31260.358409999997</c:v>
                </c:pt>
                <c:pt idx="22">
                  <c:v>30975.240818999999</c:v>
                </c:pt>
                <c:pt idx="23">
                  <c:v>30975.240818999999</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1896</c:v>
                </c:pt>
                <c:pt idx="1">
                  <c:v>1478.8418770245144</c:v>
                </c:pt>
                <c:pt idx="2">
                  <c:v>1405.9999999999998</c:v>
                </c:pt>
                <c:pt idx="3">
                  <c:v>1447.1363982509042</c:v>
                </c:pt>
                <c:pt idx="4">
                  <c:v>1677</c:v>
                </c:pt>
                <c:pt idx="5">
                  <c:v>1478.8418770245144</c:v>
                </c:pt>
                <c:pt idx="6">
                  <c:v>1319</c:v>
                </c:pt>
                <c:pt idx="7">
                  <c:v>1370.186528621442</c:v>
                </c:pt>
                <c:pt idx="8">
                  <c:v>597</c:v>
                </c:pt>
                <c:pt idx="9">
                  <c:v>1291.7428481194986</c:v>
                </c:pt>
                <c:pt idx="10">
                  <c:v>1438</c:v>
                </c:pt>
                <c:pt idx="11">
                  <c:v>1287.209807740285</c:v>
                </c:pt>
                <c:pt idx="12">
                  <c:v>820</c:v>
                </c:pt>
                <c:pt idx="13">
                  <c:v>1228.280282810508</c:v>
                </c:pt>
                <c:pt idx="14">
                  <c:v>1237</c:v>
                </c:pt>
                <c:pt idx="15">
                  <c:v>1291.7428481194986</c:v>
                </c:pt>
                <c:pt idx="16">
                  <c:v>1294</c:v>
                </c:pt>
                <c:pt idx="17">
                  <c:v>1287.209807740285</c:v>
                </c:pt>
                <c:pt idx="18">
                  <c:v>930</c:v>
                </c:pt>
                <c:pt idx="19">
                  <c:v>1430.0373829214268</c:v>
                </c:pt>
                <c:pt idx="20">
                  <c:v>2606.9999999999995</c:v>
                </c:pt>
                <c:pt idx="21">
                  <c:v>1468.2733840999776</c:v>
                </c:pt>
                <c:pt idx="22">
                  <c:v>1267</c:v>
                </c:pt>
                <c:pt idx="23">
                  <c:v>1478.8418770245144</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352783360"/>
        <c:axId val="352783752"/>
      </c:barChart>
      <c:catAx>
        <c:axId val="352783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52783752"/>
        <c:crosses val="autoZero"/>
        <c:auto val="1"/>
        <c:lblAlgn val="ctr"/>
        <c:lblOffset val="100"/>
        <c:noMultiLvlLbl val="0"/>
      </c:catAx>
      <c:valAx>
        <c:axId val="352783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52783360"/>
        <c:crosses val="autoZero"/>
        <c:crossBetween val="between"/>
      </c:valAx>
      <c:spPr>
        <a:noFill/>
        <a:ln>
          <a:noFill/>
        </a:ln>
        <a:effectLst/>
      </c:spPr>
    </c:plotArea>
    <c:legend>
      <c:legendPos val="r"/>
      <c:layout>
        <c:manualLayout>
          <c:xMode val="edge"/>
          <c:yMode val="edge"/>
          <c:x val="0.38660986921816015"/>
          <c:y val="0.12138574192349313"/>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34686.336602999996</c:v>
                </c:pt>
                <c:pt idx="1">
                  <c:v>34686.336602999996</c:v>
                </c:pt>
                <c:pt idx="2">
                  <c:v>33577.835945999999</c:v>
                </c:pt>
                <c:pt idx="3">
                  <c:v>33577.835945999999</c:v>
                </c:pt>
                <c:pt idx="4">
                  <c:v>31667.482842000001</c:v>
                </c:pt>
                <c:pt idx="5">
                  <c:v>31667.482842000005</c:v>
                </c:pt>
                <c:pt idx="6">
                  <c:v>33051.966887999995</c:v>
                </c:pt>
                <c:pt idx="7">
                  <c:v>33051.966887999995</c:v>
                </c:pt>
                <c:pt idx="8">
                  <c:v>38835.103014</c:v>
                </c:pt>
                <c:pt idx="9">
                  <c:v>38835.103014</c:v>
                </c:pt>
                <c:pt idx="10">
                  <c:v>34647.842465999995</c:v>
                </c:pt>
                <c:pt idx="11">
                  <c:v>34647.842465999995</c:v>
                </c:pt>
                <c:pt idx="12">
                  <c:v>32898.524157</c:v>
                </c:pt>
                <c:pt idx="13">
                  <c:v>32898.524157</c:v>
                </c:pt>
                <c:pt idx="14">
                  <c:v>29126.573235</c:v>
                </c:pt>
                <c:pt idx="15">
                  <c:v>29126.573234999996</c:v>
                </c:pt>
                <c:pt idx="16">
                  <c:v>31034.969010000001</c:v>
                </c:pt>
                <c:pt idx="17">
                  <c:v>31034.969010000004</c:v>
                </c:pt>
                <c:pt idx="18">
                  <c:v>29777.355471000003</c:v>
                </c:pt>
                <c:pt idx="19">
                  <c:v>29777.355471000006</c:v>
                </c:pt>
                <c:pt idx="20">
                  <c:v>31260.358409999993</c:v>
                </c:pt>
                <c:pt idx="21">
                  <c:v>31260.358409999997</c:v>
                </c:pt>
                <c:pt idx="22">
                  <c:v>30975.240818999999</c:v>
                </c:pt>
                <c:pt idx="23">
                  <c:v>30975.240818999999</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352784536"/>
        <c:axId val="352784928"/>
      </c:barChart>
      <c:catAx>
        <c:axId val="3527845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52784928"/>
        <c:crosses val="autoZero"/>
        <c:auto val="1"/>
        <c:lblAlgn val="ctr"/>
        <c:lblOffset val="100"/>
        <c:noMultiLvlLbl val="0"/>
      </c:catAx>
      <c:valAx>
        <c:axId val="352784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52784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315.52849999999995</c:v>
                </c:pt>
                <c:pt idx="1">
                  <c:v>301.08699999999999</c:v>
                </c:pt>
                <c:pt idx="2" formatCode="General">
                  <c:v>301.08699999999999</c:v>
                </c:pt>
                <c:pt idx="3">
                  <c:v>276.19900000000001</c:v>
                </c:pt>
                <c:pt idx="4" formatCode="General">
                  <c:v>276.19900000000001</c:v>
                </c:pt>
                <c:pt idx="5">
                  <c:v>294.23599999999999</c:v>
                </c:pt>
                <c:pt idx="6" formatCode="General">
                  <c:v>294.23599999999999</c:v>
                </c:pt>
                <c:pt idx="7">
                  <c:v>451.70699999999994</c:v>
                </c:pt>
                <c:pt idx="8" formatCode="General">
                  <c:v>451.70699999999994</c:v>
                </c:pt>
                <c:pt idx="9">
                  <c:v>385.03300000000002</c:v>
                </c:pt>
                <c:pt idx="10" formatCode="General">
                  <c:v>385.03300000000002</c:v>
                </c:pt>
                <c:pt idx="11">
                  <c:v>357.17849999999999</c:v>
                </c:pt>
                <c:pt idx="12" formatCode="General">
                  <c:v>357.17849999999999</c:v>
                </c:pt>
                <c:pt idx="13">
                  <c:v>297.11750000000001</c:v>
                </c:pt>
                <c:pt idx="14" formatCode="General">
                  <c:v>297.11750000000001</c:v>
                </c:pt>
                <c:pt idx="15">
                  <c:v>327.505</c:v>
                </c:pt>
                <c:pt idx="16" formatCode="General">
                  <c:v>327.505</c:v>
                </c:pt>
                <c:pt idx="17">
                  <c:v>251.57450000000003</c:v>
                </c:pt>
                <c:pt idx="18" formatCode="General">
                  <c:v>251.57450000000003</c:v>
                </c:pt>
                <c:pt idx="19">
                  <c:v>270.89499999999998</c:v>
                </c:pt>
                <c:pt idx="20" formatCode="General">
                  <c:v>270.89499999999998</c:v>
                </c:pt>
                <c:pt idx="21">
                  <c:v>267.18049999999999</c:v>
                </c:pt>
                <c:pt idx="22" formatCode="General">
                  <c:v>267.18049999999999</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352785320"/>
        <c:axId val="352785712"/>
      </c:barChart>
      <c:catAx>
        <c:axId val="3527853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52785712"/>
        <c:crosses val="autoZero"/>
        <c:auto val="1"/>
        <c:lblAlgn val="ctr"/>
        <c:lblOffset val="100"/>
        <c:noMultiLvlLbl val="0"/>
      </c:catAx>
      <c:valAx>
        <c:axId val="352785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52785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0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511774.91944001598</c:v>
                </c:pt>
                <c:pt idx="1">
                  <c:v>16637.495968879794</c:v>
                </c:pt>
                <c:pt idx="2">
                  <c:v>392774.92352469225</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1249165.921475308</c:v>
                </c:pt>
                <c:pt idx="1">
                  <c:v>16488</c:v>
                </c:pt>
                <c:pt idx="2">
                  <c:v>392774.92352469225</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396615.7317759007</c:v>
                </c:pt>
                <c:pt idx="1">
                  <c:v>227847.05776164393</c:v>
                </c:pt>
                <c:pt idx="2">
                  <c:v>33480.602206356205</c:v>
                </c:pt>
                <c:pt idx="3" formatCode="0.0">
                  <c:v>146168.47230388489</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346.53534198228812</c:v>
                </c:pt>
                <c:pt idx="1">
                  <c:v>253.56458903883595</c:v>
                </c:pt>
                <c:pt idx="2">
                  <c:v>261.28045984649629</c:v>
                </c:pt>
                <c:pt idx="3">
                  <c:v>253.56458903883595</c:v>
                </c:pt>
                <c:pt idx="4">
                  <c:v>306.50831672167573</c:v>
                </c:pt>
                <c:pt idx="5">
                  <c:v>253.56458903883595</c:v>
                </c:pt>
                <c:pt idx="6">
                  <c:v>242.40682811421809</c:v>
                </c:pt>
                <c:pt idx="7">
                  <c:v>253.56458903883595</c:v>
                </c:pt>
                <c:pt idx="8">
                  <c:v>109.11476749125843</c:v>
                </c:pt>
                <c:pt idx="9">
                  <c:v>253.56458903883595</c:v>
                </c:pt>
                <c:pt idx="10">
                  <c:v>264.2767390661453</c:v>
                </c:pt>
                <c:pt idx="11">
                  <c:v>253.56458903883595</c:v>
                </c:pt>
                <c:pt idx="12">
                  <c:v>162.35123367198835</c:v>
                </c:pt>
                <c:pt idx="13">
                  <c:v>253.56458903883595</c:v>
                </c:pt>
                <c:pt idx="14">
                  <c:v>226.08872259076497</c:v>
                </c:pt>
                <c:pt idx="15">
                  <c:v>253.56458903883595</c:v>
                </c:pt>
                <c:pt idx="16">
                  <c:v>237.81230900667035</c:v>
                </c:pt>
                <c:pt idx="17">
                  <c:v>253.56458903883595</c:v>
                </c:pt>
                <c:pt idx="18">
                  <c:v>169.97777850397048</c:v>
                </c:pt>
                <c:pt idx="19">
                  <c:v>253.56458903883595</c:v>
                </c:pt>
                <c:pt idx="20">
                  <c:v>479.11645253507709</c:v>
                </c:pt>
                <c:pt idx="21">
                  <c:v>253.56458903883595</c:v>
                </c:pt>
                <c:pt idx="22">
                  <c:v>231.57187673605438</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1226.7834384497239</c:v>
                </c:pt>
                <c:pt idx="1">
                  <c:v>897.65400732504042</c:v>
                </c:pt>
                <c:pt idx="2">
                  <c:v>924.96926603980444</c:v>
                </c:pt>
                <c:pt idx="3">
                  <c:v>897.65400732504042</c:v>
                </c:pt>
                <c:pt idx="4">
                  <c:v>1085.0821868566386</c:v>
                </c:pt>
                <c:pt idx="5" formatCode="General">
                  <c:v>897.65400732504042</c:v>
                </c:pt>
                <c:pt idx="6">
                  <c:v>858.15397759011603</c:v>
                </c:pt>
                <c:pt idx="7" formatCode="General">
                  <c:v>897.65400732504042</c:v>
                </c:pt>
                <c:pt idx="8">
                  <c:v>386.2814940688213</c:v>
                </c:pt>
                <c:pt idx="9" formatCode="General">
                  <c:v>897.65400732504042</c:v>
                </c:pt>
                <c:pt idx="10">
                  <c:v>935.57651233857973</c:v>
                </c:pt>
                <c:pt idx="11" formatCode="General">
                  <c:v>897.65400732504042</c:v>
                </c:pt>
                <c:pt idx="12">
                  <c:v>574.74600870827283</c:v>
                </c:pt>
                <c:pt idx="13" formatCode="General">
                  <c:v>897.65400732504042</c:v>
                </c:pt>
                <c:pt idx="14">
                  <c:v>800.38560831345399</c:v>
                </c:pt>
                <c:pt idx="15" formatCode="General">
                  <c:v>897.65400732504042</c:v>
                </c:pt>
                <c:pt idx="16">
                  <c:v>841.88873919758157</c:v>
                </c:pt>
                <c:pt idx="17" formatCode="General">
                  <c:v>897.65400732504042</c:v>
                </c:pt>
                <c:pt idx="18">
                  <c:v>601.74504101173181</c:v>
                </c:pt>
                <c:pt idx="19" formatCode="General">
                  <c:v>897.65400732504042</c:v>
                </c:pt>
                <c:pt idx="20">
                  <c:v>1696.1390595734892</c:v>
                </c:pt>
                <c:pt idx="21" formatCode="General">
                  <c:v>897.65400732504042</c:v>
                </c:pt>
                <c:pt idx="22">
                  <c:v>819.79673866867086</c:v>
                </c:pt>
                <c:pt idx="23" formatCode="General">
                  <c:v>897.65400732504042</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322.68121956798791</c:v>
                </c:pt>
                <c:pt idx="1">
                  <c:v>327.62328066063804</c:v>
                </c:pt>
                <c:pt idx="2">
                  <c:v>219.75027411369899</c:v>
                </c:pt>
                <c:pt idx="3">
                  <c:v>295.91780188702791</c:v>
                </c:pt>
                <c:pt idx="4">
                  <c:v>285.4094964216855</c:v>
                </c:pt>
                <c:pt idx="5">
                  <c:v>327.62328066063804</c:v>
                </c:pt>
                <c:pt idx="6">
                  <c:v>218.43919429566589</c:v>
                </c:pt>
                <c:pt idx="7">
                  <c:v>218.96793225756568</c:v>
                </c:pt>
                <c:pt idx="8">
                  <c:v>101.60373843992024</c:v>
                </c:pt>
                <c:pt idx="9">
                  <c:v>140.52425175562237</c:v>
                </c:pt>
                <c:pt idx="10">
                  <c:v>238.14674859527483</c:v>
                </c:pt>
                <c:pt idx="11">
                  <c:v>135.99121137640876</c:v>
                </c:pt>
                <c:pt idx="12">
                  <c:v>82.902757619738722</c:v>
                </c:pt>
                <c:pt idx="13">
                  <c:v>77.061686446631612</c:v>
                </c:pt>
                <c:pt idx="14">
                  <c:v>210.52566909578115</c:v>
                </c:pt>
                <c:pt idx="15">
                  <c:v>140.52425175562237</c:v>
                </c:pt>
                <c:pt idx="16">
                  <c:v>214.29895179574802</c:v>
                </c:pt>
                <c:pt idx="17">
                  <c:v>135.99121137640876</c:v>
                </c:pt>
                <c:pt idx="18">
                  <c:v>158.27718048429787</c:v>
                </c:pt>
                <c:pt idx="19">
                  <c:v>278.8187865575506</c:v>
                </c:pt>
                <c:pt idx="20">
                  <c:v>431.74448789143366</c:v>
                </c:pt>
                <c:pt idx="21">
                  <c:v>317.05478773610133</c:v>
                </c:pt>
                <c:pt idx="22">
                  <c:v>215.6313845952746</c:v>
                </c:pt>
                <c:pt idx="23">
                  <c:v>327.62328066063804</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349847488"/>
        <c:axId val="349847880"/>
      </c:barChart>
      <c:catAx>
        <c:axId val="3498474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9847880"/>
        <c:crosses val="autoZero"/>
        <c:auto val="1"/>
        <c:lblAlgn val="ctr"/>
        <c:lblOffset val="100"/>
        <c:noMultiLvlLbl val="0"/>
      </c:catAx>
      <c:valAx>
        <c:axId val="349847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9847488"/>
        <c:crosses val="autoZero"/>
        <c:crossBetween val="between"/>
      </c:valAx>
      <c:spPr>
        <a:noFill/>
        <a:ln>
          <a:noFill/>
        </a:ln>
        <a:effectLst/>
      </c:spPr>
    </c:plotArea>
    <c:legend>
      <c:legendPos val="t"/>
      <c:layout>
        <c:manualLayout>
          <c:xMode val="edge"/>
          <c:yMode val="edge"/>
          <c:x val="0.27250911260948585"/>
          <c:y val="6.5911857167845769E-2"/>
          <c:w val="0.45272279924422287"/>
          <c:h val="0.101290714220557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3042.7750684660314</c:v>
                </c:pt>
                <c:pt idx="1">
                  <c:v>0</c:v>
                </c:pt>
                <c:pt idx="2" formatCode="0">
                  <c:v>10771.848087900486</c:v>
                </c:pt>
                <c:pt idx="3">
                  <c:v>0</c:v>
                </c:pt>
                <c:pt idx="4" formatCode="0">
                  <c:v>2822.8728125132757</c:v>
                </c:pt>
                <c:pt idx="5">
                  <c:v>5.5920275226371441E-2</c:v>
                </c:pt>
                <c:pt idx="6" formatCode="0.0">
                  <c:v>1056.5702458867315</c:v>
                </c:pt>
                <c:pt idx="7" formatCode="0.0">
                  <c:v>1766.3025666265441</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152912.11859797218</c:v>
                </c:pt>
                <c:pt idx="1">
                  <c:v>179785.3628471464</c:v>
                </c:pt>
                <c:pt idx="2">
                  <c:v>183210.72799375808</c:v>
                </c:pt>
                <c:pt idx="3" formatCode="0">
                  <c:v>135003.49209550698</c:v>
                </c:pt>
                <c:pt idx="4">
                  <c:v>145256.58217617005</c:v>
                </c:pt>
                <c:pt idx="5">
                  <c:v>152725.54686048281</c:v>
                </c:pt>
                <c:pt idx="6" formatCode="0">
                  <c:v>126049.17884427439</c:v>
                </c:pt>
                <c:pt idx="7">
                  <c:v>156111.30555168787</c:v>
                </c:pt>
                <c:pt idx="8">
                  <c:v>171522.61709525005</c:v>
                </c:pt>
                <c:pt idx="9" formatCode="0">
                  <c:v>54670.192939597582</c:v>
                </c:pt>
                <c:pt idx="10">
                  <c:v>87547.43623265432</c:v>
                </c:pt>
                <c:pt idx="11">
                  <c:v>116015.77877432128</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48093.327623555764</c:v>
                </c:pt>
                <c:pt idx="28">
                  <c:v>59779.425365148018</c:v>
                </c:pt>
                <c:pt idx="29">
                  <c:v>46180.323241445207</c:v>
                </c:pt>
                <c:pt idx="30" formatCode="0">
                  <c:v>110651.3151144873</c:v>
                </c:pt>
                <c:pt idx="31">
                  <c:v>156496.60523438363</c:v>
                </c:pt>
                <c:pt idx="32">
                  <c:v>158049.14284907843</c:v>
                </c:pt>
                <c:pt idx="33" formatCode="0">
                  <c:v>140513.83871165011</c:v>
                </c:pt>
                <c:pt idx="34">
                  <c:v>155470.44587324266</c:v>
                </c:pt>
                <c:pt idx="35">
                  <c:v>176119.06049047384</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47470.621605919616</c:v>
                </c:pt>
                <c:pt idx="1">
                  <c:v>55813.254098181234</c:v>
                </c:pt>
                <c:pt idx="2">
                  <c:v>56876.6375253929</c:v>
                </c:pt>
                <c:pt idx="3" formatCode="0">
                  <c:v>41910.999255676783</c:v>
                </c:pt>
                <c:pt idx="4">
                  <c:v>45094.007665822632</c:v>
                </c:pt>
                <c:pt idx="5">
                  <c:v>47412.701563780887</c:v>
                </c:pt>
                <c:pt idx="6" formatCode="0">
                  <c:v>39131.188080555366</c:v>
                </c:pt>
                <c:pt idx="7">
                  <c:v>48463.789411838996</c:v>
                </c:pt>
                <c:pt idx="8">
                  <c:v>53248.135776555981</c:v>
                </c:pt>
                <c:pt idx="9" formatCode="0">
                  <c:v>16972.023316094921</c:v>
                </c:pt>
                <c:pt idx="10">
                  <c:v>27178.560182631754</c:v>
                </c:pt>
                <c:pt idx="11">
                  <c:v>36016.381075665267</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14930.276150248914</c:v>
                </c:pt>
                <c:pt idx="28">
                  <c:v>18558.152926970746</c:v>
                </c:pt>
                <c:pt idx="29">
                  <c:v>14336.395769895329</c:v>
                </c:pt>
                <c:pt idx="30" formatCode="0">
                  <c:v>34351.016506463202</c:v>
                </c:pt>
                <c:pt idx="31">
                  <c:v>48583.403315627882</c:v>
                </c:pt>
                <c:pt idx="32">
                  <c:v>49065.379017173829</c:v>
                </c:pt>
                <c:pt idx="33" formatCode="0">
                  <c:v>43621.652286520737</c:v>
                </c:pt>
                <c:pt idx="34">
                  <c:v>48264.83848775988</c:v>
                </c:pt>
                <c:pt idx="35">
                  <c:v>54675.073204068634</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12339.634447786106</c:v>
                </c:pt>
                <c:pt idx="1">
                  <c:v>14508.239614605616</c:v>
                </c:pt>
                <c:pt idx="2">
                  <c:v>14784.658214693836</c:v>
                </c:pt>
                <c:pt idx="3">
                  <c:v>10860.130321627477</c:v>
                </c:pt>
                <c:pt idx="4">
                  <c:v>11684.923019557198</c:v>
                </c:pt>
                <c:pt idx="5">
                  <c:v>12285.751402439964</c:v>
                </c:pt>
                <c:pt idx="6">
                  <c:v>9875.4683182517601</c:v>
                </c:pt>
                <c:pt idx="7">
                  <c:v>12230.720312753881</c:v>
                </c:pt>
                <c:pt idx="8">
                  <c:v>13438.137293067428</c:v>
                </c:pt>
                <c:pt idx="9">
                  <c:v>4198.5886702438029</c:v>
                </c:pt>
                <c:pt idx="10">
                  <c:v>6723.511553753443</c:v>
                </c:pt>
                <c:pt idx="11">
                  <c:v>8909.8374843775018</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3051.0414847418697</c:v>
                </c:pt>
                <c:pt idx="28">
                  <c:v>3792.4077150728062</c:v>
                </c:pt>
                <c:pt idx="29">
                  <c:v>2929.6804557027076</c:v>
                </c:pt>
                <c:pt idx="30">
                  <c:v>8517.4302781571896</c:v>
                </c:pt>
                <c:pt idx="31">
                  <c:v>12046.390252777324</c:v>
                </c:pt>
                <c:pt idx="32">
                  <c:v>12165.897471229247</c:v>
                </c:pt>
                <c:pt idx="33" formatCode="0.00">
                  <c:v>11202.327003385639</c:v>
                </c:pt>
                <c:pt idx="34">
                  <c:v>12394.727736449147</c:v>
                </c:pt>
                <c:pt idx="35">
                  <c:v>14040.918141821187</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24102.24809266187</c:v>
                </c:pt>
                <c:pt idx="1">
                  <c:v>28338.05102239046</c:v>
                </c:pt>
                <c:pt idx="2">
                  <c:v>28877.962452096377</c:v>
                </c:pt>
                <c:pt idx="3">
                  <c:v>21769.772470791366</c:v>
                </c:pt>
                <c:pt idx="4">
                  <c:v>23423.118134032855</c:v>
                </c:pt>
                <c:pt idx="5">
                  <c:v>24627.514103692931</c:v>
                </c:pt>
                <c:pt idx="6">
                  <c:v>24102.24809266187</c:v>
                </c:pt>
                <c:pt idx="7">
                  <c:v>29850.51906704298</c:v>
                </c:pt>
                <c:pt idx="8">
                  <c:v>32797.362970842929</c:v>
                </c:pt>
                <c:pt idx="9">
                  <c:v>11662.378109352518</c:v>
                </c:pt>
                <c:pt idx="10">
                  <c:v>18675.831361665554</c:v>
                </c:pt>
                <c:pt idx="11">
                  <c:v>24748.767216022348</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19437.296848920865</c:v>
                </c:pt>
                <c:pt idx="28">
                  <c:v>24160.325219650153</c:v>
                </c:pt>
                <c:pt idx="29">
                  <c:v>18664.141072730468</c:v>
                </c:pt>
                <c:pt idx="30" formatCode="0">
                  <c:v>23324.756218705035</c:v>
                </c:pt>
                <c:pt idx="31">
                  <c:v>32988.719224621302</c:v>
                </c:pt>
                <c:pt idx="32">
                  <c:v>33315.986562977458</c:v>
                </c:pt>
                <c:pt idx="33">
                  <c:v>24102.24809266187</c:v>
                </c:pt>
                <c:pt idx="34">
                  <c:v>26667.745268872022</c:v>
                </c:pt>
                <c:pt idx="35">
                  <c:v>30209.588811382881</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369967680"/>
        <c:axId val="369968072"/>
      </c:barChart>
      <c:catAx>
        <c:axId val="3699676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69968072"/>
        <c:crosses val="autoZero"/>
        <c:auto val="1"/>
        <c:lblAlgn val="ctr"/>
        <c:lblOffset val="100"/>
        <c:noMultiLvlLbl val="0"/>
      </c:catAx>
      <c:valAx>
        <c:axId val="369968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69967680"/>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349846704"/>
        <c:axId val="349848664"/>
      </c:scatterChart>
      <c:valAx>
        <c:axId val="349846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9848664"/>
        <c:crosses val="autoZero"/>
        <c:crossBetween val="midCat"/>
      </c:valAx>
      <c:valAx>
        <c:axId val="3498486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98467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349849448"/>
        <c:axId val="349849840"/>
      </c:scatterChart>
      <c:valAx>
        <c:axId val="3498494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9849840"/>
        <c:crosses val="autoZero"/>
        <c:crossBetween val="midCat"/>
      </c:valAx>
      <c:valAx>
        <c:axId val="349849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9849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47"/>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188620.12655901603</c:v>
                </c:pt>
                <c:pt idx="1">
                  <c:v>230240.41139699999</c:v>
                </c:pt>
                <c:pt idx="2">
                  <c:v>235545.49000061749</c:v>
                </c:pt>
                <c:pt idx="3">
                  <c:v>166004.84920201986</c:v>
                </c:pt>
                <c:pt idx="4">
                  <c:v>181919.08605399998</c:v>
                </c:pt>
                <c:pt idx="5">
                  <c:v>193511.96898881378</c:v>
                </c:pt>
                <c:pt idx="6">
                  <c:v>150953.58715041963</c:v>
                </c:pt>
                <c:pt idx="7">
                  <c:v>198451.83815799997</c:v>
                </c:pt>
                <c:pt idx="8">
                  <c:v>222801.75695039262</c:v>
                </c:pt>
                <c:pt idx="9">
                  <c:v>64178.426816583786</c:v>
                </c:pt>
                <c:pt idx="10">
                  <c:v>116800.58311200001</c:v>
                </c:pt>
                <c:pt idx="11">
                  <c:v>162366.00833168137</c:v>
                </c:pt>
                <c:pt idx="12">
                  <c:v>0</c:v>
                </c:pt>
                <c:pt idx="13">
                  <c:v>8947.9149859999961</c:v>
                </c:pt>
                <c:pt idx="14">
                  <c:v>0</c:v>
                </c:pt>
                <c:pt idx="15">
                  <c:v>0</c:v>
                </c:pt>
                <c:pt idx="16">
                  <c:v>7391.1185340000011</c:v>
                </c:pt>
                <c:pt idx="17">
                  <c:v>0</c:v>
                </c:pt>
                <c:pt idx="18">
                  <c:v>0</c:v>
                </c:pt>
                <c:pt idx="19">
                  <c:v>11018.681843000002</c:v>
                </c:pt>
                <c:pt idx="20">
                  <c:v>0</c:v>
                </c:pt>
                <c:pt idx="21">
                  <c:v>0</c:v>
                </c:pt>
                <c:pt idx="22">
                  <c:v>16032.716764999997</c:v>
                </c:pt>
                <c:pt idx="23">
                  <c:v>0</c:v>
                </c:pt>
                <c:pt idx="24">
                  <c:v>0</c:v>
                </c:pt>
                <c:pt idx="25">
                  <c:v>14124.320989999998</c:v>
                </c:pt>
                <c:pt idx="26">
                  <c:v>0</c:v>
                </c:pt>
                <c:pt idx="27">
                  <c:v>46637.348409625687</c:v>
                </c:pt>
                <c:pt idx="28">
                  <c:v>67415.717529000001</c:v>
                </c:pt>
                <c:pt idx="29">
                  <c:v>43235.946841931989</c:v>
                </c:pt>
                <c:pt idx="30">
                  <c:v>130195.00568040262</c:v>
                </c:pt>
                <c:pt idx="31">
                  <c:v>203465.60559000002</c:v>
                </c:pt>
                <c:pt idx="32">
                  <c:v>205946.89346304885</c:v>
                </c:pt>
                <c:pt idx="33">
                  <c:v>171235.56990889463</c:v>
                </c:pt>
                <c:pt idx="34">
                  <c:v>194593.26118100001</c:v>
                </c:pt>
                <c:pt idx="35">
                  <c:v>226840.14446242285</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43636.677821930076</c:v>
                </c:pt>
                <c:pt idx="1">
                  <c:v>34686.336602999996</c:v>
                </c:pt>
                <c:pt idx="2">
                  <c:v>34686.336602999996</c:v>
                </c:pt>
                <c:pt idx="3">
                  <c:v>39413.773516581998</c:v>
                </c:pt>
                <c:pt idx="4">
                  <c:v>33577.835945999999</c:v>
                </c:pt>
                <c:pt idx="5">
                  <c:v>33577.835945999999</c:v>
                </c:pt>
                <c:pt idx="6">
                  <c:v>43636.677821930076</c:v>
                </c:pt>
                <c:pt idx="7">
                  <c:v>31667.482842000001</c:v>
                </c:pt>
                <c:pt idx="8">
                  <c:v>31667.482842000001</c:v>
                </c:pt>
                <c:pt idx="9">
                  <c:v>31095.931703017621</c:v>
                </c:pt>
                <c:pt idx="10">
                  <c:v>33051.966887999995</c:v>
                </c:pt>
                <c:pt idx="11">
                  <c:v>33051.966887999995</c:v>
                </c:pt>
                <c:pt idx="12">
                  <c:v>32132.462759784878</c:v>
                </c:pt>
                <c:pt idx="13">
                  <c:v>38835.103014</c:v>
                </c:pt>
                <c:pt idx="14">
                  <c:v>38835.103014</c:v>
                </c:pt>
                <c:pt idx="15">
                  <c:v>31095.931703017621</c:v>
                </c:pt>
                <c:pt idx="16">
                  <c:v>34647.842465999995</c:v>
                </c:pt>
                <c:pt idx="17">
                  <c:v>34647.842465999995</c:v>
                </c:pt>
                <c:pt idx="18">
                  <c:v>17621.027965043319</c:v>
                </c:pt>
                <c:pt idx="19">
                  <c:v>32898.524157</c:v>
                </c:pt>
                <c:pt idx="20">
                  <c:v>32898.524157</c:v>
                </c:pt>
                <c:pt idx="21">
                  <c:v>32132.462759784878</c:v>
                </c:pt>
                <c:pt idx="22">
                  <c:v>29126.573235</c:v>
                </c:pt>
                <c:pt idx="23">
                  <c:v>29126.573235</c:v>
                </c:pt>
                <c:pt idx="24">
                  <c:v>38006.138748132646</c:v>
                </c:pt>
                <c:pt idx="25">
                  <c:v>31034.969010000001</c:v>
                </c:pt>
                <c:pt idx="26">
                  <c:v>31034.969010000001</c:v>
                </c:pt>
                <c:pt idx="27">
                  <c:v>32132.462759784878</c:v>
                </c:pt>
                <c:pt idx="28">
                  <c:v>29777.355471000003</c:v>
                </c:pt>
                <c:pt idx="29">
                  <c:v>29777.355471000003</c:v>
                </c:pt>
                <c:pt idx="30">
                  <c:v>42229.043053480716</c:v>
                </c:pt>
                <c:pt idx="31">
                  <c:v>31260.358409999993</c:v>
                </c:pt>
                <c:pt idx="32">
                  <c:v>31260.358409999993</c:v>
                </c:pt>
                <c:pt idx="33">
                  <c:v>43636.677821930076</c:v>
                </c:pt>
                <c:pt idx="34">
                  <c:v>30975.240818999999</c:v>
                </c:pt>
                <c:pt idx="35">
                  <c:v>30975.240818999999</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3060.1000000000004</c:v>
                </c:pt>
                <c:pt idx="1">
                  <c:v>1896</c:v>
                </c:pt>
                <c:pt idx="2">
                  <c:v>1896</c:v>
                </c:pt>
                <c:pt idx="3" formatCode="0">
                  <c:v>3009.7000000000003</c:v>
                </c:pt>
                <c:pt idx="4">
                  <c:v>1405.9999999999998</c:v>
                </c:pt>
                <c:pt idx="5">
                  <c:v>1405.9999999999998</c:v>
                </c:pt>
                <c:pt idx="6" formatCode="0">
                  <c:v>3060.1000000000004</c:v>
                </c:pt>
                <c:pt idx="7">
                  <c:v>1677</c:v>
                </c:pt>
                <c:pt idx="8">
                  <c:v>1677</c:v>
                </c:pt>
                <c:pt idx="9" formatCode="0">
                  <c:v>3043.3</c:v>
                </c:pt>
                <c:pt idx="10">
                  <c:v>1319</c:v>
                </c:pt>
                <c:pt idx="11">
                  <c:v>1319</c:v>
                </c:pt>
                <c:pt idx="12" formatCode="0">
                  <c:v>3060.1000000000004</c:v>
                </c:pt>
                <c:pt idx="13">
                  <c:v>597</c:v>
                </c:pt>
                <c:pt idx="14">
                  <c:v>597</c:v>
                </c:pt>
                <c:pt idx="15" formatCode="0">
                  <c:v>3043.3</c:v>
                </c:pt>
                <c:pt idx="16">
                  <c:v>1438</c:v>
                </c:pt>
                <c:pt idx="17">
                  <c:v>1438</c:v>
                </c:pt>
                <c:pt idx="18" formatCode="0">
                  <c:v>2824.9</c:v>
                </c:pt>
                <c:pt idx="19">
                  <c:v>820</c:v>
                </c:pt>
                <c:pt idx="20">
                  <c:v>820</c:v>
                </c:pt>
                <c:pt idx="21" formatCode="0">
                  <c:v>3060.1000000000004</c:v>
                </c:pt>
                <c:pt idx="22">
                  <c:v>1237</c:v>
                </c:pt>
                <c:pt idx="23">
                  <c:v>1237</c:v>
                </c:pt>
                <c:pt idx="24" formatCode="0">
                  <c:v>3043.3</c:v>
                </c:pt>
                <c:pt idx="25">
                  <c:v>1294</c:v>
                </c:pt>
                <c:pt idx="26">
                  <c:v>1294</c:v>
                </c:pt>
                <c:pt idx="27" formatCode="0">
                  <c:v>3060.1000000000004</c:v>
                </c:pt>
                <c:pt idx="28">
                  <c:v>930</c:v>
                </c:pt>
                <c:pt idx="29">
                  <c:v>930</c:v>
                </c:pt>
                <c:pt idx="30" formatCode="0">
                  <c:v>3043.3</c:v>
                </c:pt>
                <c:pt idx="31">
                  <c:v>2606.9999999999995</c:v>
                </c:pt>
                <c:pt idx="32">
                  <c:v>2606.9999999999995</c:v>
                </c:pt>
                <c:pt idx="33" formatCode="0">
                  <c:v>3060.1000000000004</c:v>
                </c:pt>
                <c:pt idx="34">
                  <c:v>1267</c:v>
                </c:pt>
                <c:pt idx="35">
                  <c:v>1267</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369968856"/>
        <c:axId val="369969248"/>
      </c:barChart>
      <c:catAx>
        <c:axId val="3699688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69969248"/>
        <c:crosses val="autoZero"/>
        <c:auto val="1"/>
        <c:lblAlgn val="ctr"/>
        <c:lblOffset val="100"/>
        <c:noMultiLvlLbl val="0"/>
      </c:catAx>
      <c:valAx>
        <c:axId val="36996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9968856"/>
        <c:crosses val="autoZero"/>
        <c:crossBetween val="between"/>
      </c:valAx>
      <c:spPr>
        <a:noFill/>
        <a:ln>
          <a:noFill/>
        </a:ln>
        <a:effectLst/>
      </c:spPr>
    </c:plotArea>
    <c:legend>
      <c:legendPos val="r"/>
      <c:layout>
        <c:manualLayout>
          <c:xMode val="edge"/>
          <c:yMode val="edge"/>
          <c:x val="0.3872104138838684"/>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43636.677821930076</c:v>
                </c:pt>
                <c:pt idx="1">
                  <c:v>34686.336602999996</c:v>
                </c:pt>
                <c:pt idx="2">
                  <c:v>39413.773516581998</c:v>
                </c:pt>
                <c:pt idx="3">
                  <c:v>33577.835945999999</c:v>
                </c:pt>
                <c:pt idx="4">
                  <c:v>43636.677821930076</c:v>
                </c:pt>
                <c:pt idx="5">
                  <c:v>31667.482842000001</c:v>
                </c:pt>
                <c:pt idx="6">
                  <c:v>31095.931703017621</c:v>
                </c:pt>
                <c:pt idx="7">
                  <c:v>33051.966887999995</c:v>
                </c:pt>
                <c:pt idx="8">
                  <c:v>32132.462759784878</c:v>
                </c:pt>
                <c:pt idx="9">
                  <c:v>38835.103014</c:v>
                </c:pt>
                <c:pt idx="10">
                  <c:v>31095.931703017621</c:v>
                </c:pt>
                <c:pt idx="11">
                  <c:v>34647.842465999995</c:v>
                </c:pt>
                <c:pt idx="12">
                  <c:v>17621.027965043319</c:v>
                </c:pt>
                <c:pt idx="13">
                  <c:v>32898.524157</c:v>
                </c:pt>
                <c:pt idx="14">
                  <c:v>32132.462759784878</c:v>
                </c:pt>
                <c:pt idx="15">
                  <c:v>29126.573235</c:v>
                </c:pt>
                <c:pt idx="16">
                  <c:v>38006.138748132646</c:v>
                </c:pt>
                <c:pt idx="17">
                  <c:v>31034.969010000001</c:v>
                </c:pt>
                <c:pt idx="18">
                  <c:v>32132.462759784878</c:v>
                </c:pt>
                <c:pt idx="19">
                  <c:v>29777.355471000003</c:v>
                </c:pt>
                <c:pt idx="20">
                  <c:v>42229.043053480716</c:v>
                </c:pt>
                <c:pt idx="21">
                  <c:v>31260.358409999993</c:v>
                </c:pt>
                <c:pt idx="22">
                  <c:v>43636.677821930076</c:v>
                </c:pt>
                <c:pt idx="23">
                  <c:v>30975.240818999999</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346104624"/>
        <c:axId val="346105016"/>
      </c:barChart>
      <c:catAx>
        <c:axId val="3461046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6105016"/>
        <c:crosses val="autoZero"/>
        <c:auto val="1"/>
        <c:lblAlgn val="ctr"/>
        <c:lblOffset val="100"/>
        <c:noMultiLvlLbl val="0"/>
      </c:catAx>
      <c:valAx>
        <c:axId val="346105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6104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566.71010158350759</c:v>
                </c:pt>
                <c:pt idx="1">
                  <c:v>315.52849999999995</c:v>
                </c:pt>
                <c:pt idx="2">
                  <c:v>511.86718852703899</c:v>
                </c:pt>
                <c:pt idx="3">
                  <c:v>301.08699999999999</c:v>
                </c:pt>
                <c:pt idx="4">
                  <c:v>566.71010158350759</c:v>
                </c:pt>
                <c:pt idx="5">
                  <c:v>276.19900000000001</c:v>
                </c:pt>
                <c:pt idx="6">
                  <c:v>493.58621750821624</c:v>
                </c:pt>
                <c:pt idx="7">
                  <c:v>294.23599999999999</c:v>
                </c:pt>
                <c:pt idx="8">
                  <c:v>510.0390914251567</c:v>
                </c:pt>
                <c:pt idx="9">
                  <c:v>451.70699999999994</c:v>
                </c:pt>
                <c:pt idx="10">
                  <c:v>493.58621750821624</c:v>
                </c:pt>
                <c:pt idx="11">
                  <c:v>385.03300000000002</c:v>
                </c:pt>
                <c:pt idx="12">
                  <c:v>279.69885658798916</c:v>
                </c:pt>
                <c:pt idx="13">
                  <c:v>357.17849999999999</c:v>
                </c:pt>
                <c:pt idx="14">
                  <c:v>510.0390914251567</c:v>
                </c:pt>
                <c:pt idx="15">
                  <c:v>297.11750000000001</c:v>
                </c:pt>
                <c:pt idx="16">
                  <c:v>493.58621750821624</c:v>
                </c:pt>
                <c:pt idx="17">
                  <c:v>327.505</c:v>
                </c:pt>
                <c:pt idx="18">
                  <c:v>510.0390914251567</c:v>
                </c:pt>
                <c:pt idx="19">
                  <c:v>251.57450000000003</c:v>
                </c:pt>
                <c:pt idx="20">
                  <c:v>548.42913056468467</c:v>
                </c:pt>
                <c:pt idx="21">
                  <c:v>270.89499999999998</c:v>
                </c:pt>
                <c:pt idx="22">
                  <c:v>566.71010158350759</c:v>
                </c:pt>
                <c:pt idx="23">
                  <c:v>267.18049999999999</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85028960"/>
        <c:axId val="85029352"/>
      </c:barChart>
      <c:catAx>
        <c:axId val="850289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5029352"/>
        <c:crosses val="autoZero"/>
        <c:auto val="1"/>
        <c:lblAlgn val="ctr"/>
        <c:lblOffset val="100"/>
        <c:noMultiLvlLbl val="0"/>
      </c:catAx>
      <c:valAx>
        <c:axId val="85029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02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944746.27628697851</c:v>
                </c:pt>
                <c:pt idx="1">
                  <c:v>569252.94490440923</c:v>
                </c:pt>
                <c:pt idx="2">
                  <c:v>36368.399999999994</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525"/>
          <c:w val="0.43867187958983822"/>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1249165.921475308</c:v>
                </c:pt>
                <c:pt idx="1">
                  <c:v>392774.92352469225</c:v>
                </c:pt>
                <c:pt idx="2">
                  <c:v>16488</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57"/>
          <c:w val="0.42866141421171766"/>
          <c:h val="0.466104729387596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785313.26935872261</c:v>
                </c:pt>
                <c:pt idx="1">
                  <c:v>243795.64807317976</c:v>
                </c:pt>
                <c:pt idx="2">
                  <c:v>61805.831158961279</c:v>
                </c:pt>
                <c:pt idx="3" formatCode="0.0">
                  <c:v>146168.47230388489</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89"/>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559.30000000000007</c:v>
                </c:pt>
                <c:pt idx="1">
                  <c:v>346.53534198228812</c:v>
                </c:pt>
                <c:pt idx="2" formatCode="0">
                  <c:v>559.30000000000007</c:v>
                </c:pt>
                <c:pt idx="3">
                  <c:v>261.28045984649629</c:v>
                </c:pt>
                <c:pt idx="4" formatCode="0">
                  <c:v>559.30000000000007</c:v>
                </c:pt>
                <c:pt idx="5">
                  <c:v>306.50831672167573</c:v>
                </c:pt>
                <c:pt idx="6" formatCode="0">
                  <c:v>559.30000000000007</c:v>
                </c:pt>
                <c:pt idx="7">
                  <c:v>242.40682811421809</c:v>
                </c:pt>
                <c:pt idx="8" formatCode="0">
                  <c:v>559.30000000000007</c:v>
                </c:pt>
                <c:pt idx="9">
                  <c:v>109.11476749125843</c:v>
                </c:pt>
                <c:pt idx="10" formatCode="0">
                  <c:v>559.30000000000007</c:v>
                </c:pt>
                <c:pt idx="11">
                  <c:v>264.2767390661453</c:v>
                </c:pt>
                <c:pt idx="12" formatCode="0">
                  <c:v>559.30000000000007</c:v>
                </c:pt>
                <c:pt idx="13">
                  <c:v>162.35123367198835</c:v>
                </c:pt>
                <c:pt idx="14" formatCode="0">
                  <c:v>559.30000000000007</c:v>
                </c:pt>
                <c:pt idx="15">
                  <c:v>226.08872259076497</c:v>
                </c:pt>
                <c:pt idx="16" formatCode="0">
                  <c:v>559.30000000000007</c:v>
                </c:pt>
                <c:pt idx="17">
                  <c:v>237.81230900667035</c:v>
                </c:pt>
                <c:pt idx="18" formatCode="0">
                  <c:v>559.30000000000007</c:v>
                </c:pt>
                <c:pt idx="19">
                  <c:v>169.97777850397048</c:v>
                </c:pt>
                <c:pt idx="20" formatCode="0">
                  <c:v>559.30000000000007</c:v>
                </c:pt>
                <c:pt idx="21">
                  <c:v>479.11645253507709</c:v>
                </c:pt>
                <c:pt idx="22" formatCode="0">
                  <c:v>559.30000000000007</c:v>
                </c:pt>
                <c:pt idx="23">
                  <c:v>231.57187673605438</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1980</c:v>
                </c:pt>
                <c:pt idx="1">
                  <c:v>1226.7834384497239</c:v>
                </c:pt>
                <c:pt idx="2">
                  <c:v>1980</c:v>
                </c:pt>
                <c:pt idx="3">
                  <c:v>924.96926603980444</c:v>
                </c:pt>
                <c:pt idx="4">
                  <c:v>1980</c:v>
                </c:pt>
                <c:pt idx="5">
                  <c:v>1085.0821868566386</c:v>
                </c:pt>
                <c:pt idx="6">
                  <c:v>1980</c:v>
                </c:pt>
                <c:pt idx="7">
                  <c:v>858.15397759011603</c:v>
                </c:pt>
                <c:pt idx="8">
                  <c:v>1980</c:v>
                </c:pt>
                <c:pt idx="9">
                  <c:v>386.2814940688213</c:v>
                </c:pt>
                <c:pt idx="10">
                  <c:v>1980</c:v>
                </c:pt>
                <c:pt idx="11">
                  <c:v>935.57651233857973</c:v>
                </c:pt>
                <c:pt idx="12">
                  <c:v>1980</c:v>
                </c:pt>
                <c:pt idx="13">
                  <c:v>574.74600870827283</c:v>
                </c:pt>
                <c:pt idx="14">
                  <c:v>1980</c:v>
                </c:pt>
                <c:pt idx="15">
                  <c:v>800.38560831345399</c:v>
                </c:pt>
                <c:pt idx="16">
                  <c:v>1980</c:v>
                </c:pt>
                <c:pt idx="17">
                  <c:v>841.88873919758157</c:v>
                </c:pt>
                <c:pt idx="18">
                  <c:v>1980</c:v>
                </c:pt>
                <c:pt idx="19">
                  <c:v>601.74504101173181</c:v>
                </c:pt>
                <c:pt idx="20">
                  <c:v>1980</c:v>
                </c:pt>
                <c:pt idx="21">
                  <c:v>1696.1390595734892</c:v>
                </c:pt>
                <c:pt idx="22">
                  <c:v>1980</c:v>
                </c:pt>
                <c:pt idx="23">
                  <c:v>819.79673866867086</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520.79999999999995</c:v>
                </c:pt>
                <c:pt idx="1">
                  <c:v>322.68121956798791</c:v>
                </c:pt>
                <c:pt idx="2" formatCode="0">
                  <c:v>470.4</c:v>
                </c:pt>
                <c:pt idx="3">
                  <c:v>219.75027411369899</c:v>
                </c:pt>
                <c:pt idx="4" formatCode="0">
                  <c:v>520.79999999999995</c:v>
                </c:pt>
                <c:pt idx="5">
                  <c:v>285.4094964216855</c:v>
                </c:pt>
                <c:pt idx="6" formatCode="0">
                  <c:v>504</c:v>
                </c:pt>
                <c:pt idx="7">
                  <c:v>218.43919429566589</c:v>
                </c:pt>
                <c:pt idx="8" formatCode="0">
                  <c:v>520.79999999999995</c:v>
                </c:pt>
                <c:pt idx="9">
                  <c:v>101.60373843992024</c:v>
                </c:pt>
                <c:pt idx="10" formatCode="0">
                  <c:v>504</c:v>
                </c:pt>
                <c:pt idx="11">
                  <c:v>238.14674859527483</c:v>
                </c:pt>
                <c:pt idx="12" formatCode="0">
                  <c:v>285.59999999999997</c:v>
                </c:pt>
                <c:pt idx="13">
                  <c:v>82.902757619738722</c:v>
                </c:pt>
                <c:pt idx="14" formatCode="0">
                  <c:v>520.79999999999995</c:v>
                </c:pt>
                <c:pt idx="15">
                  <c:v>210.52566909578115</c:v>
                </c:pt>
                <c:pt idx="16" formatCode="0">
                  <c:v>504</c:v>
                </c:pt>
                <c:pt idx="17">
                  <c:v>214.29895179574802</c:v>
                </c:pt>
                <c:pt idx="18" formatCode="0">
                  <c:v>520.79999999999995</c:v>
                </c:pt>
                <c:pt idx="19">
                  <c:v>158.27718048429787</c:v>
                </c:pt>
                <c:pt idx="20" formatCode="0">
                  <c:v>504</c:v>
                </c:pt>
                <c:pt idx="21">
                  <c:v>431.74448789143366</c:v>
                </c:pt>
                <c:pt idx="22" formatCode="0.0">
                  <c:v>520.79999999999995</c:v>
                </c:pt>
                <c:pt idx="23">
                  <c:v>215.6313845952746</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344151616"/>
        <c:axId val="344152008"/>
      </c:barChart>
      <c:catAx>
        <c:axId val="3441516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4152008"/>
        <c:crosses val="autoZero"/>
        <c:auto val="1"/>
        <c:lblAlgn val="ctr"/>
        <c:lblOffset val="100"/>
        <c:noMultiLvlLbl val="0"/>
      </c:catAx>
      <c:valAx>
        <c:axId val="34415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4151616"/>
        <c:crosses val="autoZero"/>
        <c:crossBetween val="between"/>
      </c:valAx>
      <c:spPr>
        <a:noFill/>
        <a:ln>
          <a:noFill/>
        </a:ln>
        <a:effectLst/>
      </c:spPr>
    </c:plotArea>
    <c:legend>
      <c:legendPos val="t"/>
      <c:layout>
        <c:manualLayout>
          <c:xMode val="edge"/>
          <c:yMode val="edge"/>
          <c:x val="0.27250911260948585"/>
          <c:y val="6.5911857167845769E-2"/>
          <c:w val="0.4527227992442228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checked="Checked"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5" lockText="1" noThreeD="1"/>
</file>

<file path=xl/ctrlProps/ctrlProp29.xml><?xml version="1.0" encoding="utf-8"?>
<formControlPr xmlns="http://schemas.microsoft.com/office/spreadsheetml/2009/9/main" objectType="CheckBox"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fmlaLink="списки!$C$41" lockText="1" noThreeD="1"/>
</file>

<file path=xl/ctrlProps/ctrlProp33.xml><?xml version="1.0" encoding="utf-8"?>
<formControlPr xmlns="http://schemas.microsoft.com/office/spreadsheetml/2009/9/main" objectType="CheckBox"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checked="Checked"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checked="Checked"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60960</xdr:rowOff>
        </xdr:from>
        <xdr:to>
          <xdr:col>3</xdr:col>
          <xdr:colOff>1051560</xdr:colOff>
          <xdr:row>26</xdr:row>
          <xdr:rowOff>350520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68580</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7620</xdr:rowOff>
        </xdr:from>
        <xdr:to>
          <xdr:col>2</xdr:col>
          <xdr:colOff>1668780</xdr:colOff>
          <xdr:row>124</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22860</xdr:rowOff>
        </xdr:from>
        <xdr:to>
          <xdr:col>2</xdr:col>
          <xdr:colOff>3627120</xdr:colOff>
          <xdr:row>124</xdr:row>
          <xdr:rowOff>83820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89</xdr:row>
          <xdr:rowOff>38100</xdr:rowOff>
        </xdr:from>
        <xdr:to>
          <xdr:col>2</xdr:col>
          <xdr:colOff>2979420</xdr:colOff>
          <xdr:row>91</xdr:row>
          <xdr:rowOff>30480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87</xdr:row>
          <xdr:rowOff>38100</xdr:rowOff>
        </xdr:from>
        <xdr:to>
          <xdr:col>2</xdr:col>
          <xdr:colOff>3756660</xdr:colOff>
          <xdr:row>89</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87</xdr:row>
          <xdr:rowOff>45720</xdr:rowOff>
        </xdr:from>
        <xdr:to>
          <xdr:col>4</xdr:col>
          <xdr:colOff>4030980</xdr:colOff>
          <xdr:row>93</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190500</xdr:rowOff>
        </xdr:from>
        <xdr:to>
          <xdr:col>4</xdr:col>
          <xdr:colOff>3893820</xdr:colOff>
          <xdr:row>89</xdr:row>
          <xdr:rowOff>45720</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60960</xdr:rowOff>
        </xdr:from>
        <xdr:to>
          <xdr:col>4</xdr:col>
          <xdr:colOff>3962400</xdr:colOff>
          <xdr:row>90</xdr:row>
          <xdr:rowOff>144780</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144780</xdr:rowOff>
        </xdr:from>
        <xdr:to>
          <xdr:col>4</xdr:col>
          <xdr:colOff>3878580</xdr:colOff>
          <xdr:row>92</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22860</xdr:rowOff>
        </xdr:from>
        <xdr:to>
          <xdr:col>3</xdr:col>
          <xdr:colOff>1051560</xdr:colOff>
          <xdr:row>27</xdr:row>
          <xdr:rowOff>327660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27</xdr:row>
          <xdr:rowOff>30480</xdr:rowOff>
        </xdr:from>
        <xdr:to>
          <xdr:col>3</xdr:col>
          <xdr:colOff>2125980</xdr:colOff>
          <xdr:row>27</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87</xdr:row>
          <xdr:rowOff>182880</xdr:rowOff>
        </xdr:from>
        <xdr:to>
          <xdr:col>2</xdr:col>
          <xdr:colOff>2049780</xdr:colOff>
          <xdr:row>88</xdr:row>
          <xdr:rowOff>137160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88</xdr:row>
          <xdr:rowOff>0</xdr:rowOff>
        </xdr:from>
        <xdr:to>
          <xdr:col>2</xdr:col>
          <xdr:colOff>2788920</xdr:colOff>
          <xdr:row>88</xdr:row>
          <xdr:rowOff>137160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3573780</xdr:colOff>
          <xdr:row>101</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3566160</xdr:colOff>
          <xdr:row>100</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137160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3870960</xdr:colOff>
          <xdr:row>103</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60960</xdr:rowOff>
        </xdr:from>
        <xdr:to>
          <xdr:col>4</xdr:col>
          <xdr:colOff>3680460</xdr:colOff>
          <xdr:row>100</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38100</xdr:rowOff>
        </xdr:from>
        <xdr:to>
          <xdr:col>4</xdr:col>
          <xdr:colOff>3733800</xdr:colOff>
          <xdr:row>101</xdr:row>
          <xdr:rowOff>441960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115</xdr:row>
          <xdr:rowOff>22860</xdr:rowOff>
        </xdr:from>
        <xdr:to>
          <xdr:col>3</xdr:col>
          <xdr:colOff>0</xdr:colOff>
          <xdr:row>120</xdr:row>
          <xdr:rowOff>175260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115</xdr:row>
          <xdr:rowOff>152400</xdr:rowOff>
        </xdr:from>
        <xdr:to>
          <xdr:col>2</xdr:col>
          <xdr:colOff>3741420</xdr:colOff>
          <xdr:row>117</xdr:row>
          <xdr:rowOff>60960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3764280</xdr:colOff>
          <xdr:row>118</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45720</xdr:rowOff>
        </xdr:from>
        <xdr:to>
          <xdr:col>2</xdr:col>
          <xdr:colOff>3718560</xdr:colOff>
          <xdr:row>119</xdr:row>
          <xdr:rowOff>60960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119</xdr:row>
          <xdr:rowOff>60960</xdr:rowOff>
        </xdr:from>
        <xdr:to>
          <xdr:col>2</xdr:col>
          <xdr:colOff>3756660</xdr:colOff>
          <xdr:row>120</xdr:row>
          <xdr:rowOff>160020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124</xdr:row>
          <xdr:rowOff>68580</xdr:rowOff>
        </xdr:from>
        <xdr:to>
          <xdr:col>2</xdr:col>
          <xdr:colOff>3764280</xdr:colOff>
          <xdr:row>124</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22860</xdr:rowOff>
        </xdr:from>
        <xdr:to>
          <xdr:col>4</xdr:col>
          <xdr:colOff>3992880</xdr:colOff>
          <xdr:row>93</xdr:row>
          <xdr:rowOff>144780</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4</xdr:col>
          <xdr:colOff>45720</xdr:colOff>
          <xdr:row>29</xdr:row>
          <xdr:rowOff>7620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0</xdr:rowOff>
        </xdr:from>
        <xdr:to>
          <xdr:col>3</xdr:col>
          <xdr:colOff>2369820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213360</xdr:rowOff>
        </xdr:from>
        <xdr:to>
          <xdr:col>4</xdr:col>
          <xdr:colOff>137160</xdr:colOff>
          <xdr:row>31</xdr:row>
          <xdr:rowOff>30480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0</xdr:rowOff>
        </xdr:from>
        <xdr:to>
          <xdr:col>3</xdr:col>
          <xdr:colOff>2933700</xdr:colOff>
          <xdr:row>18</xdr:row>
          <xdr:rowOff>7620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25</xdr:row>
          <xdr:rowOff>0</xdr:rowOff>
        </xdr:from>
        <xdr:to>
          <xdr:col>3</xdr:col>
          <xdr:colOff>1143000</xdr:colOff>
          <xdr:row>26</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22860</xdr:rowOff>
        </xdr:from>
        <xdr:to>
          <xdr:col>4</xdr:col>
          <xdr:colOff>0</xdr:colOff>
          <xdr:row>35</xdr:row>
          <xdr:rowOff>259080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342900</xdr:rowOff>
        </xdr:from>
        <xdr:to>
          <xdr:col>3</xdr:col>
          <xdr:colOff>2994660</xdr:colOff>
          <xdr:row>36</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102</xdr:row>
          <xdr:rowOff>83820</xdr:rowOff>
        </xdr:from>
        <xdr:to>
          <xdr:col>4</xdr:col>
          <xdr:colOff>3810000</xdr:colOff>
          <xdr:row>102</xdr:row>
          <xdr:rowOff>487680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xdr:row>
          <xdr:rowOff>220980</xdr:rowOff>
        </xdr:from>
        <xdr:to>
          <xdr:col>3</xdr:col>
          <xdr:colOff>403860</xdr:colOff>
          <xdr:row>9</xdr:row>
          <xdr:rowOff>22860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39</xdr:row>
      <xdr:rowOff>133349</xdr:rowOff>
    </xdr:from>
    <xdr:to>
      <xdr:col>6</xdr:col>
      <xdr:colOff>9525</xdr:colOff>
      <xdr:row>68</xdr:row>
      <xdr:rowOff>95249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H6" sqref="H6"/>
    </sheetView>
  </sheetViews>
  <sheetFormatPr defaultColWidth="9.109375" defaultRowHeight="13.8" x14ac:dyDescent="0.25"/>
  <cols>
    <col min="1" max="1" width="9.109375" style="32"/>
    <col min="2" max="2" width="4.6640625" style="32" customWidth="1"/>
    <col min="3" max="3" width="4.33203125" style="32" customWidth="1"/>
    <col min="4" max="4" width="112" style="32" customWidth="1"/>
    <col min="5" max="16384" width="9.109375" style="32"/>
  </cols>
  <sheetData>
    <row r="1" spans="1:24" s="30" customFormat="1" ht="14.4" x14ac:dyDescent="0.3">
      <c r="A1" s="31"/>
      <c r="B1" s="29"/>
      <c r="D1" s="1419" t="s">
        <v>1654</v>
      </c>
      <c r="E1" s="31"/>
      <c r="F1" s="31"/>
      <c r="G1" s="31"/>
      <c r="H1" s="31"/>
      <c r="I1" s="31"/>
      <c r="J1" s="31"/>
      <c r="K1" s="31"/>
      <c r="L1" s="31"/>
      <c r="M1" s="31"/>
      <c r="N1" s="31"/>
      <c r="O1" s="31"/>
      <c r="P1" s="31"/>
      <c r="Q1" s="31"/>
      <c r="R1" s="31"/>
      <c r="S1" s="31"/>
      <c r="T1" s="31"/>
      <c r="U1" s="31"/>
      <c r="V1" s="31"/>
      <c r="W1" s="31"/>
      <c r="X1" s="31"/>
    </row>
    <row r="2" spans="1:24" ht="14.4" x14ac:dyDescent="0.3">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4">
      <c r="A3" s="31"/>
      <c r="B3" s="33"/>
      <c r="C3" s="1531" t="s">
        <v>1872</v>
      </c>
      <c r="D3" s="1531"/>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2" t="s">
        <v>1874</v>
      </c>
      <c r="D5" s="1532"/>
      <c r="E5" s="31"/>
      <c r="F5" s="31"/>
      <c r="G5" s="31"/>
      <c r="H5" s="31"/>
      <c r="I5" s="31"/>
      <c r="J5" s="31"/>
      <c r="K5" s="31"/>
      <c r="L5" s="31"/>
      <c r="M5" s="31"/>
      <c r="N5" s="31"/>
      <c r="O5" s="31"/>
      <c r="P5" s="31"/>
      <c r="Q5" s="31"/>
      <c r="R5" s="31"/>
      <c r="S5" s="31"/>
      <c r="T5" s="31"/>
      <c r="U5" s="31"/>
      <c r="V5" s="31"/>
      <c r="W5" s="31"/>
      <c r="X5" s="31"/>
    </row>
    <row r="6" spans="1:24" ht="25.2" x14ac:dyDescent="0.45">
      <c r="A6" s="31"/>
      <c r="B6" s="33"/>
      <c r="C6" s="1533" t="s">
        <v>1876</v>
      </c>
      <c r="D6" s="1533"/>
      <c r="E6" s="34"/>
      <c r="F6" s="31"/>
      <c r="G6" s="31"/>
      <c r="H6" s="31"/>
      <c r="I6" s="31"/>
      <c r="J6" s="31"/>
      <c r="K6" s="31"/>
      <c r="L6" s="31"/>
      <c r="M6" s="31"/>
      <c r="N6" s="31"/>
      <c r="O6" s="31"/>
      <c r="P6" s="31"/>
      <c r="Q6" s="31"/>
      <c r="R6" s="31"/>
      <c r="S6" s="31"/>
      <c r="T6" s="31"/>
      <c r="U6" s="31"/>
      <c r="V6" s="31"/>
      <c r="W6" s="31"/>
      <c r="X6" s="31"/>
    </row>
    <row r="7" spans="1:24" ht="39" customHeight="1" x14ac:dyDescent="0.35">
      <c r="A7" s="31"/>
      <c r="B7" s="33"/>
      <c r="C7" s="1530" t="s">
        <v>1655</v>
      </c>
      <c r="D7" s="1530"/>
      <c r="E7" s="34"/>
      <c r="F7" s="31"/>
      <c r="G7" s="31"/>
      <c r="H7" s="31"/>
      <c r="I7" s="31"/>
      <c r="J7" s="31"/>
      <c r="K7" s="31"/>
      <c r="L7" s="31"/>
      <c r="M7" s="31"/>
      <c r="N7" s="31"/>
      <c r="O7" s="31"/>
      <c r="P7" s="31"/>
      <c r="Q7" s="31"/>
      <c r="R7" s="31"/>
      <c r="S7" s="31"/>
      <c r="T7" s="31"/>
      <c r="U7" s="31"/>
      <c r="V7" s="31"/>
      <c r="W7" s="31"/>
      <c r="X7" s="31"/>
    </row>
    <row r="8" spans="1:24" ht="33.6" x14ac:dyDescent="0.3">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5">
      <c r="A9" s="31"/>
      <c r="B9" s="33"/>
      <c r="C9" s="1530" t="s">
        <v>1657</v>
      </c>
      <c r="D9" s="1530"/>
      <c r="E9" s="34"/>
      <c r="F9" s="31"/>
      <c r="G9" s="31"/>
      <c r="H9" s="31"/>
      <c r="I9" s="31"/>
      <c r="J9" s="31"/>
      <c r="K9" s="31"/>
      <c r="L9" s="31"/>
      <c r="M9" s="31"/>
      <c r="N9" s="31"/>
      <c r="O9" s="31"/>
      <c r="P9" s="31"/>
      <c r="Q9" s="31"/>
      <c r="R9" s="31"/>
      <c r="S9" s="31"/>
      <c r="T9" s="31"/>
      <c r="U9" s="31"/>
      <c r="V9" s="31"/>
      <c r="W9" s="31"/>
      <c r="X9" s="31"/>
    </row>
    <row r="10" spans="1:24" ht="67.2" x14ac:dyDescent="0.3">
      <c r="A10" s="31"/>
      <c r="B10" s="33"/>
      <c r="C10" s="35"/>
      <c r="D10" s="37" t="s">
        <v>1873</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5">
      <c r="A11" s="31"/>
      <c r="B11" s="33"/>
      <c r="C11" s="1530" t="s">
        <v>1658</v>
      </c>
      <c r="D11" s="1530"/>
      <c r="E11" s="34"/>
      <c r="F11" s="31"/>
      <c r="G11" s="31"/>
      <c r="H11" s="31"/>
      <c r="I11" s="31"/>
      <c r="J11" s="31"/>
      <c r="K11" s="31"/>
      <c r="L11" s="31"/>
      <c r="M11" s="31"/>
      <c r="N11" s="31"/>
      <c r="O11" s="31"/>
      <c r="P11" s="31"/>
      <c r="Q11" s="31"/>
      <c r="R11" s="31"/>
      <c r="S11" s="31"/>
      <c r="T11" s="31"/>
      <c r="U11" s="31"/>
      <c r="V11" s="31"/>
      <c r="W11" s="31"/>
      <c r="X11" s="31"/>
    </row>
    <row r="12" spans="1:24" ht="33.6" x14ac:dyDescent="0.3">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5">
      <c r="A13" s="31"/>
      <c r="B13" s="33"/>
      <c r="C13" s="1530" t="s">
        <v>1660</v>
      </c>
      <c r="D13" s="1530"/>
      <c r="E13" s="34"/>
      <c r="F13" s="31"/>
      <c r="G13" s="31"/>
      <c r="H13" s="31"/>
      <c r="I13" s="31"/>
      <c r="J13" s="31"/>
      <c r="K13" s="31"/>
      <c r="L13" s="31"/>
      <c r="M13" s="31"/>
      <c r="N13" s="31"/>
      <c r="O13" s="31"/>
      <c r="P13" s="31"/>
      <c r="Q13" s="31"/>
      <c r="R13" s="31"/>
      <c r="S13" s="31"/>
      <c r="T13" s="31"/>
      <c r="U13" s="31"/>
      <c r="V13" s="31"/>
      <c r="W13" s="31"/>
      <c r="X13" s="31"/>
    </row>
    <row r="14" spans="1:24" ht="34.5" customHeight="1" x14ac:dyDescent="0.3">
      <c r="A14" s="31"/>
      <c r="B14" s="33"/>
      <c r="C14" s="35"/>
      <c r="D14" s="37" t="s">
        <v>1875</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1945</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8671875" defaultRowHeight="15.75" customHeight="1" x14ac:dyDescent="0.3"/>
  <cols>
    <col min="1" max="1" width="8.88671875" style="1010"/>
    <col min="2" max="2" width="22.5546875" style="1010" customWidth="1"/>
    <col min="3" max="3" width="37.5546875" style="1010" customWidth="1"/>
    <col min="4" max="4" width="30.88671875" style="1010" customWidth="1"/>
    <col min="5" max="5" width="11.88671875" style="1010" customWidth="1"/>
    <col min="6" max="6" width="16.44140625" style="1010" customWidth="1"/>
    <col min="7" max="7" width="10.88671875" style="1010" customWidth="1"/>
    <col min="8" max="8" width="14.5546875" style="1010" customWidth="1"/>
    <col min="9" max="9" width="10" style="1010" customWidth="1"/>
    <col min="10" max="10" width="13.88671875" style="1010" customWidth="1"/>
    <col min="11" max="11" width="11.44140625" style="1011" customWidth="1"/>
    <col min="12" max="12" width="2.33203125" style="1011" customWidth="1"/>
    <col min="13" max="13" width="7" style="1011" customWidth="1"/>
    <col min="14" max="14" width="7.33203125" style="1011" customWidth="1"/>
    <col min="15" max="15" width="9.33203125" style="1012" customWidth="1"/>
    <col min="16" max="16" width="2" style="1012" customWidth="1"/>
    <col min="17" max="17" width="6" style="1012" customWidth="1"/>
    <col min="18" max="18" width="8.44140625" style="1012" customWidth="1"/>
    <col min="19" max="19" width="9.109375" style="1013" customWidth="1"/>
    <col min="20" max="20" width="3" style="1013" customWidth="1"/>
    <col min="21" max="21" width="7.5546875" style="1013" customWidth="1"/>
    <col min="22" max="22" width="8.44140625" style="1013" customWidth="1"/>
    <col min="23" max="23" width="10.44140625" style="1014" customWidth="1"/>
    <col min="24" max="24" width="2.44140625" style="1014" customWidth="1"/>
    <col min="25" max="26" width="8.44140625" style="1014" customWidth="1"/>
    <col min="27" max="27" width="9.6640625" style="1015" customWidth="1"/>
    <col min="28" max="28" width="2.44140625" style="1015" customWidth="1"/>
    <col min="29" max="29" width="6" style="1015" customWidth="1"/>
    <col min="30" max="30" width="8.44140625" style="1015" customWidth="1"/>
    <col min="31" max="31" width="9" style="1016" customWidth="1"/>
    <col min="32" max="32" width="3.6640625" style="1016" customWidth="1"/>
    <col min="33" max="33" width="7.5546875" style="1016" customWidth="1"/>
    <col min="34" max="34" width="8.44140625" style="1016" customWidth="1"/>
    <col min="35" max="35" width="9.33203125" style="1017" customWidth="1"/>
    <col min="36" max="36" width="2" style="1017" customWidth="1"/>
    <col min="37" max="37" width="8.109375" style="1017" customWidth="1"/>
    <col min="38" max="38" width="8.44140625" style="1017" customWidth="1"/>
    <col min="39" max="39" width="10.33203125" style="1018" customWidth="1"/>
    <col min="40" max="40" width="2.33203125" style="1018" customWidth="1"/>
    <col min="41" max="41" width="6.109375" style="1018" customWidth="1"/>
    <col min="42" max="42" width="8.44140625" style="1018" customWidth="1"/>
    <col min="43" max="43" width="9.33203125" style="1013" customWidth="1"/>
    <col min="44" max="44" width="2.44140625" style="1013" customWidth="1"/>
    <col min="45" max="46" width="8.44140625" style="1013" customWidth="1"/>
    <col min="47" max="47" width="9.33203125" style="1019" customWidth="1"/>
    <col min="48" max="48" width="3" style="1019" customWidth="1"/>
    <col min="49" max="49" width="7.5546875" style="1019" customWidth="1"/>
    <col min="50" max="50" width="7.33203125" style="1019" customWidth="1"/>
    <col min="51" max="51" width="10" style="1020" customWidth="1"/>
    <col min="52" max="52" width="3.109375" style="1020" customWidth="1"/>
    <col min="53" max="54" width="8.44140625" style="1020" customWidth="1"/>
    <col min="55" max="55" width="9" style="1021" customWidth="1"/>
    <col min="56" max="56" width="3.88671875" style="1021" customWidth="1"/>
    <col min="57" max="57" width="7.5546875" style="1021" customWidth="1"/>
    <col min="58" max="58" width="8.44140625" style="1021" customWidth="1"/>
    <col min="59" max="60" width="14.44140625" style="1010" customWidth="1"/>
    <col min="61" max="61" width="1.88671875" style="1010" customWidth="1"/>
    <col min="62" max="16384" width="8.88671875" style="1010"/>
  </cols>
  <sheetData>
    <row r="1" spans="1:58" s="75" customFormat="1" ht="15.75" customHeight="1" x14ac:dyDescent="0.55000000000000004">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3">
      <c r="B2" s="1007" t="s">
        <v>463</v>
      </c>
      <c r="C2" s="1008" t="str">
        <f>VLOOKUP(CONCATENATE('Ввод исходных данных'!$D$10,'Ввод исходных данных'!$D$11),Климатология!$D$9:$BF$548,$J$7,0)</f>
        <v>3000-4000</v>
      </c>
      <c r="D2" s="1009"/>
      <c r="E2" s="75">
        <f>VLOOKUP(CONCATENATE('Ввод исходных данных'!$D$10,'Ввод исходных данных'!$D$11),Климатология!$D$9:$BF$548,E7,0)</f>
        <v>188</v>
      </c>
      <c r="F2" s="75">
        <f>VLOOKUP(CONCATENATE('Ввод исходных данных'!$D$10,'Ввод исходных данных'!$D$11),Климатология!$D$9:$BF$548,F7,0)</f>
        <v>1.2</v>
      </c>
      <c r="G2" s="75">
        <f>VLOOKUP(CONCATENATE('Ввод исходных данных'!$D$10,'Ввод исходных данных'!$D$11),Климатология!$D$9:$BF$548,G7,0)</f>
        <v>-19</v>
      </c>
      <c r="H2" s="75">
        <f>VLOOKUP(CONCATENATE('Ввод исходных данных'!$D$10,'Ввод исходных данных'!$D$11),Климатология!$D$9:$BF$548,H7,0)</f>
        <v>3.6</v>
      </c>
      <c r="I2" s="75">
        <f>VLOOKUP(CONCATENATE('Ввод исходных данных'!$D$10,'Ввод исходных данных'!$D$11),Климатология!$D$9:$BF$548,I7,0)</f>
        <v>3534.4</v>
      </c>
      <c r="J2" s="75" t="str">
        <f>VLOOKUP(CONCATENATE('Ввод исходных данных'!$D$10,'Ввод исходных данных'!$D$11),Климатология!$D$9:$BF$548,J7,0)</f>
        <v>3000-4000</v>
      </c>
      <c r="K2" s="75">
        <f>VLOOKUP(CONCATENATE('Ввод исходных данных'!$D$10,'Ввод исходных данных'!$D$11),Климатология!$D$9:$BF$548,K7,0)</f>
        <v>17.7</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17.3</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12.9</v>
      </c>
      <c r="U2" s="75">
        <f>VLOOKUP(CONCATENATE('Ввод исходных данных'!$D$10,'Ввод исходных данных'!$D$11),Климатология!$D$9:$BF$548,U7,0)</f>
        <v>0</v>
      </c>
      <c r="V2" s="75">
        <f>VLOOKUP(CONCATENATE('Ввод исходных данных'!$D$10,'Ввод исходных данных'!$D$11),Климатология!$D$9:$BF$548,V7,0)</f>
        <v>0</v>
      </c>
      <c r="W2" s="75">
        <f>VLOOKUP(CONCATENATE('Ввод исходных данных'!$D$10,'Ввод исходных данных'!$D$11),Климатология!$D$9:$BF$548,W7,0)</f>
        <v>8.3000000000000007</v>
      </c>
      <c r="Y2" s="75">
        <f>VLOOKUP(CONCATENATE('Ввод исходных данных'!$D$10,'Ввод исходных данных'!$D$11),Климатология!$D$9:$BF$548,Y7,0)</f>
        <v>18.5</v>
      </c>
      <c r="Z2" s="75">
        <f>VLOOKUP(CONCATENATE('Ввод исходных данных'!$D$10,'Ввод исходных данных'!$D$11),Климатология!$D$9:$BF$548,Z7,0)</f>
        <v>216.45</v>
      </c>
      <c r="AA2" s="75">
        <f>VLOOKUP(CONCATENATE('Ввод исходных данных'!$D$10,'Ввод исходных данных'!$D$11),Климатология!$D$9:$BF$548,AA7,0)</f>
        <v>3.4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498.00000000000006</v>
      </c>
      <c r="AE2" s="75">
        <f>VLOOKUP(CONCATENATE('Ввод исходных данных'!$D$10,'Ввод исходных данных'!$D$11),Климатология!$D$9:$BF$548,AE7,0)</f>
        <v>-0.4</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632.4</v>
      </c>
      <c r="AI2" s="75">
        <f>VLOOKUP(CONCATENATE('Ввод исходных данных'!$D$10,'Ввод исходных данных'!$D$11),Климатология!$D$9:$BF$548,AI7,0)</f>
        <v>-2.2000000000000002</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688.19999999999993</v>
      </c>
      <c r="AM2" s="75">
        <f>VLOOKUP(CONCATENATE('Ввод исходных данных'!$D$10,'Ввод исходных данных'!$D$11),Климатология!$D$9:$BF$548,AM7,0)</f>
        <v>-1.7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607.6</v>
      </c>
      <c r="AQ2" s="75">
        <f>VLOOKUP(CONCATENATE('Ввод исходных данных'!$D$10,'Ввод исходных данных'!$D$11),Климатология!$D$9:$BF$548,AQ7,0)</f>
        <v>1.7</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567.30000000000007</v>
      </c>
      <c r="AU2" s="75">
        <f>VLOOKUP(CONCATENATE('Ввод исходных данных'!$D$10,'Ввод исходных данных'!$D$11),Климатология!$D$9:$BF$548,AU7,0)</f>
        <v>6.7</v>
      </c>
      <c r="AW2" s="75">
        <f>VLOOKUP(CONCATENATE('Ввод исходных данных'!$D$10,'Ввод исходных данных'!$D$11),Климатология!$D$9:$BF$548,AW7,0)</f>
        <v>18.5</v>
      </c>
      <c r="AX2" s="75">
        <f>VLOOKUP(CONCATENATE('Ввод исходных данных'!$D$10,'Ввод исходных данных'!$D$11),Климатология!$D$9:$BF$548,AX7,0)</f>
        <v>246.05</v>
      </c>
      <c r="AY2" s="75">
        <f>VLOOKUP(CONCATENATE('Ввод исходных данных'!$D$10,'Ввод исходных данных'!$D$11),Климатология!$D$9:$BF$548,AY7,0)</f>
        <v>12.2</v>
      </c>
      <c r="BA2" s="75">
        <f>VLOOKUP(CONCATENATE('Ввод исходных данных'!$D$10,'Ввод исходных данных'!$D$11),Климатология!$D$9:$BF$548,BA7,0)</f>
        <v>0</v>
      </c>
      <c r="BB2" s="75">
        <f>VLOOKUP(CONCATENATE('Ввод исходных данных'!$D$10,'Ввод исходных данных'!$D$11),Климатология!$D$9:$BF$548,BB7,0)</f>
        <v>0</v>
      </c>
      <c r="BC2" s="75">
        <f>VLOOKUP(CONCATENATE('Ввод исходных данных'!$D$10,'Ввод исходных данных'!$D$11),Климатология!$D$9:$BF$548,BC7,0)</f>
        <v>15.6</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3">
      <c r="C3" s="1010" t="str">
        <f>CONCATENATE('Ввод исходных данных'!$D$10,'Ввод исходных данных'!$D$11)</f>
        <v>Калининградская областьКалининград</v>
      </c>
    </row>
    <row r="4" spans="1:58" ht="15.75" customHeight="1" x14ac:dyDescent="0.3">
      <c r="A4" s="74"/>
      <c r="B4" s="74"/>
      <c r="C4" s="74"/>
      <c r="D4" s="74"/>
      <c r="E4" s="74"/>
      <c r="F4" s="74"/>
      <c r="G4" s="74"/>
      <c r="H4" s="74"/>
      <c r="I4" s="74"/>
      <c r="J4" s="74"/>
    </row>
    <row r="5" spans="1:58" ht="15.75" customHeight="1" x14ac:dyDescent="0.3">
      <c r="A5" s="74"/>
      <c r="B5" s="74"/>
      <c r="C5" s="74"/>
      <c r="D5" s="74"/>
      <c r="E5" s="74"/>
      <c r="F5" s="74"/>
      <c r="G5" s="74"/>
      <c r="H5" s="74"/>
      <c r="I5" s="74"/>
      <c r="J5" s="74"/>
    </row>
    <row r="6" spans="1:58" ht="15.75" customHeight="1" x14ac:dyDescent="0.3">
      <c r="A6" s="74"/>
      <c r="B6" s="74"/>
      <c r="C6" s="74"/>
      <c r="D6" s="74"/>
      <c r="E6" s="74"/>
      <c r="F6" s="74"/>
      <c r="G6" s="74"/>
      <c r="H6" s="74"/>
      <c r="I6" s="74"/>
      <c r="J6" s="74"/>
      <c r="K6" s="1830" t="s">
        <v>720</v>
      </c>
      <c r="L6" s="1830"/>
      <c r="M6" s="1830"/>
      <c r="N6" s="1830"/>
      <c r="O6" s="1831" t="s">
        <v>721</v>
      </c>
      <c r="P6" s="1831"/>
      <c r="Q6" s="1831"/>
      <c r="R6" s="1831"/>
      <c r="S6" s="1832" t="s">
        <v>722</v>
      </c>
      <c r="T6" s="1832"/>
      <c r="U6" s="1832"/>
      <c r="V6" s="1832"/>
      <c r="W6" s="1836" t="s">
        <v>482</v>
      </c>
      <c r="X6" s="1836"/>
      <c r="Y6" s="1836"/>
      <c r="Z6" s="1836"/>
      <c r="AA6" s="1837" t="s">
        <v>486</v>
      </c>
      <c r="AB6" s="1837"/>
      <c r="AC6" s="1837"/>
      <c r="AD6" s="1837"/>
      <c r="AE6" s="1838" t="s">
        <v>487</v>
      </c>
      <c r="AF6" s="1838"/>
      <c r="AG6" s="1838"/>
      <c r="AH6" s="1838"/>
      <c r="AI6" s="1839" t="s">
        <v>488</v>
      </c>
      <c r="AJ6" s="1839"/>
      <c r="AK6" s="1839"/>
      <c r="AL6" s="1839"/>
      <c r="AM6" s="1840" t="s">
        <v>489</v>
      </c>
      <c r="AN6" s="1840"/>
      <c r="AO6" s="1840"/>
      <c r="AP6" s="1840"/>
      <c r="AQ6" s="1832" t="s">
        <v>490</v>
      </c>
      <c r="AR6" s="1832"/>
      <c r="AS6" s="1832"/>
      <c r="AT6" s="1832"/>
      <c r="AU6" s="1835" t="s">
        <v>491</v>
      </c>
      <c r="AV6" s="1835"/>
      <c r="AW6" s="1835"/>
      <c r="AX6" s="1835"/>
      <c r="AY6" s="1833" t="s">
        <v>724</v>
      </c>
      <c r="AZ6" s="1833"/>
      <c r="BA6" s="1833"/>
      <c r="BB6" s="1833"/>
      <c r="BC6" s="1834" t="s">
        <v>725</v>
      </c>
      <c r="BD6" s="1834"/>
      <c r="BE6" s="1834"/>
      <c r="BF6" s="1834"/>
    </row>
    <row r="7" spans="1:58" ht="15.75" customHeight="1" x14ac:dyDescent="0.3">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3">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3">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x14ac:dyDescent="0.3">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x14ac:dyDescent="0.3">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x14ac:dyDescent="0.3">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3">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x14ac:dyDescent="0.3">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3">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3">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x14ac:dyDescent="0.3">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3">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x14ac:dyDescent="0.3">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3">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x14ac:dyDescent="0.3">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x14ac:dyDescent="0.3">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x14ac:dyDescent="0.3">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x14ac:dyDescent="0.3">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x14ac:dyDescent="0.3">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x14ac:dyDescent="0.3">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x14ac:dyDescent="0.3">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x14ac:dyDescent="0.3">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x14ac:dyDescent="0.3">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x14ac:dyDescent="0.3">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x14ac:dyDescent="0.3">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x14ac:dyDescent="0.3">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x14ac:dyDescent="0.3">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x14ac:dyDescent="0.3">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x14ac:dyDescent="0.3">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x14ac:dyDescent="0.3">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x14ac:dyDescent="0.3">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x14ac:dyDescent="0.3">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x14ac:dyDescent="0.3">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x14ac:dyDescent="0.3">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x14ac:dyDescent="0.3">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x14ac:dyDescent="0.3">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x14ac:dyDescent="0.3">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x14ac:dyDescent="0.3">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x14ac:dyDescent="0.3">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x14ac:dyDescent="0.3">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x14ac:dyDescent="0.3">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x14ac:dyDescent="0.3">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3">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3">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3">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3">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x14ac:dyDescent="0.3">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x14ac:dyDescent="0.3">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3">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3">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3">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3">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3">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3">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x14ac:dyDescent="0.3">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x14ac:dyDescent="0.3">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x14ac:dyDescent="0.3">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x14ac:dyDescent="0.3">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x14ac:dyDescent="0.3">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3">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x14ac:dyDescent="0.3">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x14ac:dyDescent="0.3">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x14ac:dyDescent="0.3">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x14ac:dyDescent="0.3">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x14ac:dyDescent="0.3">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x14ac:dyDescent="0.3">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x14ac:dyDescent="0.3">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x14ac:dyDescent="0.3">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x14ac:dyDescent="0.3">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x14ac:dyDescent="0.3">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x14ac:dyDescent="0.3">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x14ac:dyDescent="0.3">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x14ac:dyDescent="0.3">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x14ac:dyDescent="0.3">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x14ac:dyDescent="0.3">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x14ac:dyDescent="0.3">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x14ac:dyDescent="0.3">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x14ac:dyDescent="0.3">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x14ac:dyDescent="0.3">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x14ac:dyDescent="0.3">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x14ac:dyDescent="0.3">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x14ac:dyDescent="0.3">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x14ac:dyDescent="0.3">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x14ac:dyDescent="0.3">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x14ac:dyDescent="0.3">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x14ac:dyDescent="0.3">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x14ac:dyDescent="0.3">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x14ac:dyDescent="0.3">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x14ac:dyDescent="0.3">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x14ac:dyDescent="0.3">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x14ac:dyDescent="0.3">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x14ac:dyDescent="0.3">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x14ac:dyDescent="0.3">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x14ac:dyDescent="0.3">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x14ac:dyDescent="0.3">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x14ac:dyDescent="0.3">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x14ac:dyDescent="0.3">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x14ac:dyDescent="0.3">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x14ac:dyDescent="0.3">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x14ac:dyDescent="0.3">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x14ac:dyDescent="0.3">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x14ac:dyDescent="0.3">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x14ac:dyDescent="0.3">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x14ac:dyDescent="0.3">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x14ac:dyDescent="0.3">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3">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3">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3">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x14ac:dyDescent="0.3">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x14ac:dyDescent="0.3">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x14ac:dyDescent="0.3">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x14ac:dyDescent="0.3">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x14ac:dyDescent="0.3">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x14ac:dyDescent="0.3">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x14ac:dyDescent="0.3">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x14ac:dyDescent="0.3">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x14ac:dyDescent="0.3">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x14ac:dyDescent="0.3">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x14ac:dyDescent="0.3">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x14ac:dyDescent="0.3">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x14ac:dyDescent="0.3">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x14ac:dyDescent="0.3">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x14ac:dyDescent="0.3">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x14ac:dyDescent="0.3">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x14ac:dyDescent="0.3">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x14ac:dyDescent="0.3">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x14ac:dyDescent="0.3">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3">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x14ac:dyDescent="0.3">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x14ac:dyDescent="0.3">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x14ac:dyDescent="0.3">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x14ac:dyDescent="0.3">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x14ac:dyDescent="0.3">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x14ac:dyDescent="0.3">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x14ac:dyDescent="0.3">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x14ac:dyDescent="0.3">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x14ac:dyDescent="0.3">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x14ac:dyDescent="0.3">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x14ac:dyDescent="0.3">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x14ac:dyDescent="0.3">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x14ac:dyDescent="0.3">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x14ac:dyDescent="0.3">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3">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3">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3">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3">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3">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x14ac:dyDescent="0.3">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x14ac:dyDescent="0.3">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x14ac:dyDescent="0.3">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x14ac:dyDescent="0.3">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x14ac:dyDescent="0.3">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x14ac:dyDescent="0.3">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x14ac:dyDescent="0.3">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x14ac:dyDescent="0.3">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x14ac:dyDescent="0.3">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x14ac:dyDescent="0.3">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x14ac:dyDescent="0.3">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x14ac:dyDescent="0.3">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x14ac:dyDescent="0.3">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x14ac:dyDescent="0.3">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x14ac:dyDescent="0.3">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x14ac:dyDescent="0.3">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x14ac:dyDescent="0.3">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x14ac:dyDescent="0.3">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x14ac:dyDescent="0.3">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x14ac:dyDescent="0.3">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x14ac:dyDescent="0.3">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x14ac:dyDescent="0.3">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x14ac:dyDescent="0.3">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x14ac:dyDescent="0.3">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x14ac:dyDescent="0.3">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x14ac:dyDescent="0.3">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3">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3">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x14ac:dyDescent="0.3">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x14ac:dyDescent="0.3">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3">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x14ac:dyDescent="0.3">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x14ac:dyDescent="0.3">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x14ac:dyDescent="0.3">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x14ac:dyDescent="0.3">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x14ac:dyDescent="0.3">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x14ac:dyDescent="0.3">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x14ac:dyDescent="0.3">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3">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x14ac:dyDescent="0.3">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3">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x14ac:dyDescent="0.3">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x14ac:dyDescent="0.3">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x14ac:dyDescent="0.3">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x14ac:dyDescent="0.3">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x14ac:dyDescent="0.3">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x14ac:dyDescent="0.3">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x14ac:dyDescent="0.3">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x14ac:dyDescent="0.3">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x14ac:dyDescent="0.3">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x14ac:dyDescent="0.3">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x14ac:dyDescent="0.3">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x14ac:dyDescent="0.3">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x14ac:dyDescent="0.3">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x14ac:dyDescent="0.3">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x14ac:dyDescent="0.3">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x14ac:dyDescent="0.3">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x14ac:dyDescent="0.3">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x14ac:dyDescent="0.3">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x14ac:dyDescent="0.3">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x14ac:dyDescent="0.3">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x14ac:dyDescent="0.3">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x14ac:dyDescent="0.3">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3">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x14ac:dyDescent="0.3">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x14ac:dyDescent="0.3">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x14ac:dyDescent="0.3">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x14ac:dyDescent="0.3">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x14ac:dyDescent="0.3">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x14ac:dyDescent="0.3">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x14ac:dyDescent="0.3">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x14ac:dyDescent="0.3">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x14ac:dyDescent="0.3">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x14ac:dyDescent="0.3">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x14ac:dyDescent="0.3">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x14ac:dyDescent="0.3">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x14ac:dyDescent="0.3">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x14ac:dyDescent="0.3">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x14ac:dyDescent="0.3">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3">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3">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3">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3">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3">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3">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3">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x14ac:dyDescent="0.3">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x14ac:dyDescent="0.3">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x14ac:dyDescent="0.3">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x14ac:dyDescent="0.3">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x14ac:dyDescent="0.3">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3">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3">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3">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3">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3">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3">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x14ac:dyDescent="0.3">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3">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x14ac:dyDescent="0.3">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3">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3">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3">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x14ac:dyDescent="0.3">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x14ac:dyDescent="0.3">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3">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3">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3">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3">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x14ac:dyDescent="0.3">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x14ac:dyDescent="0.3">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x14ac:dyDescent="0.3">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x14ac:dyDescent="0.3">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x14ac:dyDescent="0.3">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x14ac:dyDescent="0.3">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3">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3">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x14ac:dyDescent="0.3">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x14ac:dyDescent="0.3">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x14ac:dyDescent="0.3">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x14ac:dyDescent="0.3">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x14ac:dyDescent="0.3">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x14ac:dyDescent="0.3">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x14ac:dyDescent="0.3">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x14ac:dyDescent="0.3">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x14ac:dyDescent="0.3">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x14ac:dyDescent="0.3">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x14ac:dyDescent="0.3">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3">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3">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3">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3">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3">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3">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3">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x14ac:dyDescent="0.3">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x14ac:dyDescent="0.3">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x14ac:dyDescent="0.3">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x14ac:dyDescent="0.3">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x14ac:dyDescent="0.3">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x14ac:dyDescent="0.3">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x14ac:dyDescent="0.3">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x14ac:dyDescent="0.3">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x14ac:dyDescent="0.3">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x14ac:dyDescent="0.3">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x14ac:dyDescent="0.3">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x14ac:dyDescent="0.3">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x14ac:dyDescent="0.3">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x14ac:dyDescent="0.3">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x14ac:dyDescent="0.3">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x14ac:dyDescent="0.3">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x14ac:dyDescent="0.3">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x14ac:dyDescent="0.3">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x14ac:dyDescent="0.3">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3">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x14ac:dyDescent="0.3">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x14ac:dyDescent="0.3">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x14ac:dyDescent="0.3">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x14ac:dyDescent="0.3">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x14ac:dyDescent="0.3">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x14ac:dyDescent="0.3">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x14ac:dyDescent="0.3">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x14ac:dyDescent="0.3">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x14ac:dyDescent="0.3">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x14ac:dyDescent="0.3">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x14ac:dyDescent="0.3">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x14ac:dyDescent="0.3">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x14ac:dyDescent="0.3">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x14ac:dyDescent="0.3">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x14ac:dyDescent="0.3">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x14ac:dyDescent="0.3">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x14ac:dyDescent="0.3">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x14ac:dyDescent="0.3">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x14ac:dyDescent="0.3">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x14ac:dyDescent="0.3">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x14ac:dyDescent="0.3">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x14ac:dyDescent="0.3">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x14ac:dyDescent="0.3">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x14ac:dyDescent="0.3">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x14ac:dyDescent="0.3">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x14ac:dyDescent="0.3">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x14ac:dyDescent="0.3">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x14ac:dyDescent="0.3">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x14ac:dyDescent="0.3">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x14ac:dyDescent="0.3">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x14ac:dyDescent="0.3">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x14ac:dyDescent="0.3">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x14ac:dyDescent="0.3">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x14ac:dyDescent="0.3">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x14ac:dyDescent="0.3">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x14ac:dyDescent="0.3">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x14ac:dyDescent="0.3">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x14ac:dyDescent="0.3">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x14ac:dyDescent="0.3">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x14ac:dyDescent="0.3">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x14ac:dyDescent="0.3">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x14ac:dyDescent="0.3">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x14ac:dyDescent="0.3">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x14ac:dyDescent="0.3">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x14ac:dyDescent="0.3">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x14ac:dyDescent="0.3">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x14ac:dyDescent="0.3">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x14ac:dyDescent="0.3">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x14ac:dyDescent="0.3">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x14ac:dyDescent="0.3">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3">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x14ac:dyDescent="0.3">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3">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3">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x14ac:dyDescent="0.3">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x14ac:dyDescent="0.3">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x14ac:dyDescent="0.3">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3">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3">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3">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3">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3">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x14ac:dyDescent="0.3">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3">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3">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3">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x14ac:dyDescent="0.3">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x14ac:dyDescent="0.3">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x14ac:dyDescent="0.3">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x14ac:dyDescent="0.3">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x14ac:dyDescent="0.3">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x14ac:dyDescent="0.3">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x14ac:dyDescent="0.3">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x14ac:dyDescent="0.3">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x14ac:dyDescent="0.3">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x14ac:dyDescent="0.3">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x14ac:dyDescent="0.3">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x14ac:dyDescent="0.3">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x14ac:dyDescent="0.3">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x14ac:dyDescent="0.3">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x14ac:dyDescent="0.3">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x14ac:dyDescent="0.3">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x14ac:dyDescent="0.3">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x14ac:dyDescent="0.3">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x14ac:dyDescent="0.3">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x14ac:dyDescent="0.3">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x14ac:dyDescent="0.3">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x14ac:dyDescent="0.3">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3">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3">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3">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3">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3">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3">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3">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x14ac:dyDescent="0.3">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x14ac:dyDescent="0.3">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x14ac:dyDescent="0.3">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x14ac:dyDescent="0.3">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x14ac:dyDescent="0.3">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x14ac:dyDescent="0.3">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x14ac:dyDescent="0.3">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x14ac:dyDescent="0.3">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3">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x14ac:dyDescent="0.3">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x14ac:dyDescent="0.3">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x14ac:dyDescent="0.3">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x14ac:dyDescent="0.3">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x14ac:dyDescent="0.3">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x14ac:dyDescent="0.3">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x14ac:dyDescent="0.3">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x14ac:dyDescent="0.3">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x14ac:dyDescent="0.3">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x14ac:dyDescent="0.3">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x14ac:dyDescent="0.3">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3">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3">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x14ac:dyDescent="0.3">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x14ac:dyDescent="0.3">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3">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x14ac:dyDescent="0.3">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x14ac:dyDescent="0.3">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x14ac:dyDescent="0.3">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x14ac:dyDescent="0.3">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x14ac:dyDescent="0.3">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x14ac:dyDescent="0.3">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3">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x14ac:dyDescent="0.3">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x14ac:dyDescent="0.3">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x14ac:dyDescent="0.3">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x14ac:dyDescent="0.3">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x14ac:dyDescent="0.3">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x14ac:dyDescent="0.3">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x14ac:dyDescent="0.3">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x14ac:dyDescent="0.3">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x14ac:dyDescent="0.3">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x14ac:dyDescent="0.3">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3">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x14ac:dyDescent="0.3">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x14ac:dyDescent="0.3">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x14ac:dyDescent="0.3">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x14ac:dyDescent="0.3">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x14ac:dyDescent="0.3">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x14ac:dyDescent="0.3">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x14ac:dyDescent="0.3">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x14ac:dyDescent="0.3">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x14ac:dyDescent="0.3">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3">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3">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x14ac:dyDescent="0.3">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x14ac:dyDescent="0.3">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x14ac:dyDescent="0.3">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x14ac:dyDescent="0.3">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x14ac:dyDescent="0.3">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x14ac:dyDescent="0.3">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x14ac:dyDescent="0.3">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x14ac:dyDescent="0.3">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x14ac:dyDescent="0.3">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x14ac:dyDescent="0.3">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x14ac:dyDescent="0.3">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x14ac:dyDescent="0.3">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x14ac:dyDescent="0.3">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3">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3">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3">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3">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3">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3">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3">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3">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3">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3">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3">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3">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3">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3">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3">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3">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3">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3">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3">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3">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3">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3">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3">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3">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3">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3">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3">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3">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3">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3">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3">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3">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3">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3">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3">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3">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3">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3">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3">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3">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3">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3">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3">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3">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3">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3">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3">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3">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3">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3">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3">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3">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3">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3">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3">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3">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3">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3">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3">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3">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3">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3">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3">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3">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3">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3">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3">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3">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3">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3">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3">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3">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3">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3">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3">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3">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3">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3">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3">
      <c r="C549" s="1090"/>
      <c r="D549" s="1090"/>
      <c r="E549" s="1090"/>
      <c r="F549" s="1090"/>
      <c r="G549" s="1090"/>
      <c r="H549" s="1090"/>
    </row>
    <row r="551" spans="2:58" ht="15.75" customHeight="1" x14ac:dyDescent="0.3">
      <c r="D551" s="1023"/>
    </row>
    <row r="596" spans="2:2" ht="15.75" customHeight="1" x14ac:dyDescent="0.3">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09375" defaultRowHeight="14.4" x14ac:dyDescent="0.3"/>
  <cols>
    <col min="1" max="1" width="43.6640625" style="75" customWidth="1"/>
    <col min="2" max="2" width="22.5546875" style="75" customWidth="1"/>
    <col min="3" max="3" width="27.33203125" style="75" customWidth="1"/>
    <col min="4" max="4" width="9.109375" style="75" customWidth="1"/>
    <col min="5" max="5" width="7.5546875" style="75" customWidth="1"/>
    <col min="6" max="6" width="4.109375" style="75" customWidth="1"/>
    <col min="7" max="8" width="7.5546875" style="75" customWidth="1"/>
    <col min="9" max="9" width="9.109375" style="75"/>
    <col min="10" max="10" width="11" style="75" customWidth="1"/>
    <col min="11" max="16" width="9.109375" style="75"/>
    <col min="17" max="17" width="17.33203125" style="75" customWidth="1"/>
    <col min="18" max="18" width="9.109375" style="75"/>
    <col min="19" max="19" width="9.5546875" style="75" bestFit="1" customWidth="1"/>
    <col min="20" max="20" width="9.109375" style="75"/>
    <col min="21" max="21" width="7.33203125" style="75" customWidth="1"/>
    <col min="22" max="27" width="9.109375" style="75"/>
    <col min="28" max="28" width="8.88671875" style="75" customWidth="1"/>
    <col min="29" max="34" width="9.109375" style="75"/>
    <col min="35" max="35" width="11.5546875" style="75" bestFit="1" customWidth="1"/>
    <col min="36" max="41" width="9.109375" style="75"/>
    <col min="42" max="42" width="7" style="75" customWidth="1"/>
    <col min="43" max="48" width="9.109375" style="75"/>
    <col min="49" max="49" width="8" style="75" customWidth="1"/>
    <col min="50" max="16384" width="9.109375" style="75"/>
  </cols>
  <sheetData>
    <row r="1" spans="1:59" ht="62.25" customHeight="1" x14ac:dyDescent="0.55000000000000004">
      <c r="A1" s="1763" t="s">
        <v>1240</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 thickBot="1" x14ac:dyDescent="0.35">
      <c r="A2" s="1092"/>
      <c r="B2" s="95" t="s">
        <v>1538</v>
      </c>
      <c r="C2" s="1093">
        <f>'Ввод исходных данных'!$D$83-'Расчет базового уровня'!$D$145</f>
        <v>39</v>
      </c>
      <c r="D2" s="74"/>
      <c r="E2" s="74"/>
      <c r="F2" s="74"/>
      <c r="G2" s="74"/>
      <c r="H2" s="74"/>
      <c r="I2" s="74"/>
      <c r="J2" s="74"/>
      <c r="K2" s="74"/>
      <c r="L2" s="74"/>
      <c r="M2" s="74"/>
      <c r="N2" s="74"/>
      <c r="O2" s="74"/>
      <c r="P2" s="74"/>
      <c r="Q2" s="74"/>
      <c r="R2" s="74"/>
      <c r="S2" s="74"/>
      <c r="T2" s="74"/>
      <c r="U2" s="74"/>
      <c r="V2" s="74"/>
    </row>
    <row r="3" spans="1:59" ht="37.5" customHeight="1" x14ac:dyDescent="0.3">
      <c r="A3" s="1850" t="s">
        <v>757</v>
      </c>
      <c r="B3" s="1852" t="s">
        <v>1380</v>
      </c>
      <c r="C3" s="1854" t="s">
        <v>1370</v>
      </c>
      <c r="D3" s="1855"/>
      <c r="E3" s="1855"/>
      <c r="F3" s="1855"/>
      <c r="G3" s="1855"/>
      <c r="H3" s="1856"/>
      <c r="I3" s="1857" t="s">
        <v>1371</v>
      </c>
      <c r="J3" s="1857"/>
      <c r="K3" s="1858"/>
      <c r="L3" s="74"/>
      <c r="M3" s="74"/>
      <c r="N3" s="74"/>
      <c r="O3" s="74"/>
      <c r="P3" s="74"/>
      <c r="Q3" s="74"/>
      <c r="R3" s="74"/>
      <c r="S3" s="74"/>
      <c r="T3" s="74"/>
      <c r="U3" s="74"/>
      <c r="V3" s="74"/>
    </row>
    <row r="4" spans="1:59" ht="45.9" customHeight="1" x14ac:dyDescent="0.3">
      <c r="A4" s="1851"/>
      <c r="B4" s="1853"/>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3">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0.74712643678160928</v>
      </c>
      <c r="K5" s="1104">
        <f>MAX(I5:J5)</f>
        <v>0.94081687762475719</v>
      </c>
      <c r="L5" s="74"/>
      <c r="M5" s="74"/>
      <c r="N5" s="74"/>
      <c r="O5" s="74"/>
      <c r="P5" s="74"/>
      <c r="Q5" s="74"/>
      <c r="R5" s="74"/>
      <c r="S5" s="74"/>
      <c r="T5" s="74"/>
      <c r="U5" s="74"/>
      <c r="V5" s="74"/>
      <c r="W5" s="1105"/>
    </row>
    <row r="6" spans="1:59" s="1106" customFormat="1" ht="17.100000000000001" customHeight="1" x14ac:dyDescent="0.3">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0.74712643678160928</v>
      </c>
      <c r="K6" s="1104">
        <f t="shared" ref="K6:K33" si="1">MAX(I6:J6)</f>
        <v>0.88699221817662599</v>
      </c>
      <c r="L6" s="74"/>
      <c r="M6" s="74"/>
      <c r="N6" s="74"/>
      <c r="O6" s="74"/>
      <c r="P6" s="74"/>
      <c r="Q6" s="74"/>
      <c r="R6" s="74"/>
      <c r="S6" s="74"/>
      <c r="T6" s="74"/>
      <c r="U6" s="74"/>
      <c r="V6" s="74"/>
      <c r="W6" s="1105"/>
    </row>
    <row r="7" spans="1:59" s="1106" customFormat="1" ht="17.100000000000001" customHeight="1" x14ac:dyDescent="0.3">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0.74712643678160928</v>
      </c>
      <c r="K7" s="1104">
        <f t="shared" si="1"/>
        <v>1.0622198092130406</v>
      </c>
      <c r="L7" s="74"/>
      <c r="M7" s="74"/>
      <c r="N7" s="74"/>
      <c r="O7" s="74"/>
      <c r="P7" s="74"/>
      <c r="Q7" s="74"/>
      <c r="R7" s="74"/>
      <c r="S7" s="74"/>
      <c r="T7" s="74"/>
      <c r="U7" s="74"/>
      <c r="V7" s="74"/>
      <c r="W7" s="1105"/>
    </row>
    <row r="8" spans="1:59" s="1106" customFormat="1" ht="17.100000000000001" customHeight="1" x14ac:dyDescent="0.3">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0.74712643678160928</v>
      </c>
      <c r="K8" s="1104">
        <f t="shared" si="1"/>
        <v>0.82345746442182322</v>
      </c>
      <c r="L8" s="74"/>
      <c r="M8" s="74"/>
      <c r="N8" s="74"/>
      <c r="O8" s="74"/>
      <c r="P8" s="74"/>
      <c r="Q8" s="74"/>
      <c r="R8" s="74"/>
      <c r="S8" s="74"/>
      <c r="T8" s="74"/>
      <c r="U8" s="74"/>
      <c r="V8" s="74"/>
      <c r="W8" s="1105"/>
    </row>
    <row r="9" spans="1:59" s="1106" customFormat="1" ht="17.100000000000001" customHeight="1" x14ac:dyDescent="0.3">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0.74712643678160928</v>
      </c>
      <c r="K9" s="1104">
        <f t="shared" si="1"/>
        <v>0.84977584737043255</v>
      </c>
      <c r="L9" s="74"/>
      <c r="M9" s="74"/>
      <c r="N9" s="74"/>
      <c r="O9" s="74"/>
      <c r="P9" s="74"/>
      <c r="Q9" s="74"/>
      <c r="R9" s="74"/>
      <c r="S9" s="74"/>
      <c r="T9" s="74"/>
      <c r="U9" s="74"/>
      <c r="V9" s="74"/>
      <c r="W9" s="1105"/>
    </row>
    <row r="10" spans="1:59" s="1106" customFormat="1" ht="17.100000000000001" customHeight="1" x14ac:dyDescent="0.3">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0.74712643678160928</v>
      </c>
      <c r="K10" s="1104">
        <f t="shared" si="1"/>
        <v>0.84977584737043255</v>
      </c>
      <c r="L10" s="74"/>
      <c r="M10" s="74"/>
      <c r="N10" s="74"/>
      <c r="O10" s="74"/>
      <c r="P10" s="74"/>
      <c r="Q10" s="74"/>
      <c r="R10" s="74"/>
      <c r="S10" s="74"/>
      <c r="T10" s="74"/>
      <c r="U10" s="74"/>
      <c r="V10" s="74"/>
      <c r="W10" s="1105"/>
    </row>
    <row r="11" spans="1:59" s="1106" customFormat="1" ht="17.100000000000001" customHeight="1" x14ac:dyDescent="0.3">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0.74712643678160928</v>
      </c>
      <c r="K11" s="1104">
        <f t="shared" si="1"/>
        <v>0.84977584737043255</v>
      </c>
      <c r="L11" s="74"/>
      <c r="M11" s="74"/>
      <c r="N11" s="74"/>
      <c r="O11" s="74"/>
      <c r="P11" s="74"/>
      <c r="Q11" s="74"/>
      <c r="R11" s="74"/>
      <c r="S11" s="74"/>
      <c r="T11" s="74"/>
      <c r="U11" s="74"/>
      <c r="V11" s="74"/>
      <c r="W11" s="1105"/>
    </row>
    <row r="12" spans="1:59" s="1106" customFormat="1" ht="17.100000000000001" customHeight="1" x14ac:dyDescent="0.3">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0.74712643678160928</v>
      </c>
      <c r="K12" s="1104">
        <f t="shared" si="1"/>
        <v>0.84977584737043255</v>
      </c>
      <c r="L12" s="74"/>
      <c r="M12" s="74"/>
      <c r="N12" s="74"/>
      <c r="O12" s="74"/>
      <c r="P12" s="74"/>
      <c r="Q12" s="74"/>
      <c r="R12" s="74"/>
      <c r="S12" s="74"/>
      <c r="T12" s="74"/>
      <c r="U12" s="74"/>
      <c r="V12" s="74"/>
      <c r="W12" s="1105"/>
    </row>
    <row r="13" spans="1:59" s="1106" customFormat="1" ht="17.100000000000001" customHeight="1" x14ac:dyDescent="0.3">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0.74712643678160928</v>
      </c>
      <c r="K13" s="1104">
        <f t="shared" si="1"/>
        <v>0.75265350209980575</v>
      </c>
      <c r="L13" s="74"/>
      <c r="M13" s="74"/>
      <c r="N13" s="74"/>
      <c r="O13" s="74"/>
      <c r="P13" s="74"/>
      <c r="Q13" s="74"/>
      <c r="R13" s="74"/>
      <c r="S13" s="74"/>
      <c r="T13" s="74"/>
      <c r="U13" s="74"/>
      <c r="V13" s="74"/>
      <c r="W13" s="1105"/>
    </row>
    <row r="14" spans="1:59" s="1106" customFormat="1" ht="17.100000000000001" customHeight="1" x14ac:dyDescent="0.3">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0.74712643678160928</v>
      </c>
      <c r="K14" s="1104">
        <f t="shared" si="1"/>
        <v>0.74712643678160928</v>
      </c>
      <c r="L14" s="74"/>
      <c r="M14" s="74"/>
      <c r="N14" s="74"/>
      <c r="O14" s="74"/>
      <c r="P14" s="74"/>
      <c r="Q14" s="74"/>
      <c r="R14" s="74"/>
      <c r="S14" s="74"/>
      <c r="T14" s="74"/>
      <c r="U14" s="74"/>
      <c r="V14" s="74"/>
      <c r="W14" s="1105"/>
    </row>
    <row r="15" spans="1:59" s="1106" customFormat="1" ht="17.100000000000001" customHeight="1" x14ac:dyDescent="0.3">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0.74712643678160928</v>
      </c>
      <c r="K15" s="1104">
        <f t="shared" ref="K15" si="3">MAX(I15:J15)</f>
        <v>0.74712643678160928</v>
      </c>
      <c r="L15" s="74"/>
      <c r="M15" s="74"/>
      <c r="N15" s="74"/>
      <c r="O15" s="74"/>
      <c r="P15" s="74"/>
      <c r="Q15" s="74"/>
      <c r="R15" s="74"/>
      <c r="S15" s="74"/>
      <c r="T15" s="74"/>
      <c r="U15" s="74"/>
      <c r="V15" s="74"/>
      <c r="W15" s="1105"/>
    </row>
    <row r="16" spans="1:59" s="1106" customFormat="1" ht="17.100000000000001" customHeight="1" x14ac:dyDescent="0.3">
      <c r="A16" s="977" t="s">
        <v>1940</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0.74712643678160928</v>
      </c>
      <c r="K16" s="1104">
        <f t="shared" si="1"/>
        <v>0.84977584737043255</v>
      </c>
      <c r="L16" s="74"/>
      <c r="M16" s="74"/>
      <c r="N16" s="74"/>
      <c r="O16" s="74"/>
      <c r="P16" s="74"/>
      <c r="Q16" s="74"/>
      <c r="R16" s="74"/>
      <c r="S16" s="74"/>
      <c r="T16" s="74"/>
      <c r="U16" s="74"/>
      <c r="V16" s="74"/>
      <c r="W16" s="1105"/>
    </row>
    <row r="17" spans="1:23" s="1106" customFormat="1" ht="17.100000000000001" customHeight="1" x14ac:dyDescent="0.3">
      <c r="A17" s="977" t="s">
        <v>1941</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0.74712643678160928</v>
      </c>
      <c r="K17" s="1104">
        <f t="shared" si="1"/>
        <v>0.84977584737043255</v>
      </c>
      <c r="L17" s="74"/>
      <c r="M17" s="74"/>
      <c r="N17" s="74"/>
      <c r="O17" s="74"/>
      <c r="P17" s="74"/>
      <c r="Q17" s="74"/>
      <c r="R17" s="74"/>
      <c r="S17" s="74"/>
      <c r="T17" s="74"/>
      <c r="U17" s="74"/>
      <c r="V17" s="74"/>
      <c r="W17" s="1105"/>
    </row>
    <row r="18" spans="1:23" s="1106" customFormat="1" ht="17.100000000000001" customHeight="1" x14ac:dyDescent="0.3">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0.74712643678160928</v>
      </c>
      <c r="K18" s="1104">
        <f t="shared" ref="K18" si="5">MAX(I18:J18)</f>
        <v>0.84977584737043255</v>
      </c>
      <c r="L18" s="74"/>
      <c r="M18" s="74"/>
      <c r="N18" s="74"/>
      <c r="O18" s="74"/>
      <c r="P18" s="74"/>
      <c r="Q18" s="74"/>
      <c r="R18" s="74"/>
      <c r="S18" s="74"/>
      <c r="T18" s="74"/>
      <c r="U18" s="74"/>
      <c r="V18" s="74"/>
      <c r="W18" s="1105"/>
    </row>
    <row r="19" spans="1:23" s="1106" customFormat="1" ht="17.100000000000001" customHeight="1" x14ac:dyDescent="0.3">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0.74712643678160928</v>
      </c>
      <c r="K19" s="1104">
        <f t="shared" si="1"/>
        <v>0.89371490725225611</v>
      </c>
      <c r="L19" s="74"/>
      <c r="M19" s="74"/>
      <c r="N19" s="74"/>
      <c r="O19" s="74"/>
      <c r="P19" s="74"/>
      <c r="Q19" s="74"/>
      <c r="R19" s="74"/>
      <c r="S19" s="74"/>
      <c r="T19" s="74"/>
      <c r="U19" s="74"/>
      <c r="V19" s="74"/>
      <c r="W19" s="1105"/>
    </row>
    <row r="20" spans="1:23" s="1106" customFormat="1" ht="17.100000000000001" customHeight="1" x14ac:dyDescent="0.3">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0.74712643678160928</v>
      </c>
      <c r="K20" s="1104">
        <f t="shared" si="1"/>
        <v>0.74712643678160928</v>
      </c>
      <c r="L20" s="74"/>
      <c r="M20" s="74"/>
      <c r="N20" s="74"/>
      <c r="O20" s="74"/>
      <c r="P20" s="74"/>
      <c r="Q20" s="74"/>
      <c r="R20" s="74"/>
      <c r="S20" s="74"/>
      <c r="T20" s="74"/>
      <c r="U20" s="74"/>
      <c r="V20" s="74"/>
      <c r="W20" s="1105"/>
    </row>
    <row r="21" spans="1:23" s="1106" customFormat="1" ht="17.100000000000001" customHeight="1" x14ac:dyDescent="0.3">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0.74712643678160928</v>
      </c>
      <c r="K21" s="1104">
        <f t="shared" si="1"/>
        <v>0.94081687762475719</v>
      </c>
      <c r="L21" s="74"/>
      <c r="M21" s="74"/>
      <c r="N21" s="74"/>
      <c r="O21" s="74"/>
      <c r="P21" s="74"/>
      <c r="Q21" s="74"/>
      <c r="R21" s="74"/>
      <c r="S21" s="74"/>
      <c r="T21" s="74"/>
      <c r="U21" s="74"/>
      <c r="V21" s="74"/>
      <c r="W21" s="1105"/>
    </row>
    <row r="22" spans="1:23" s="1106" customFormat="1" ht="17.100000000000001" customHeight="1" x14ac:dyDescent="0.3">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0.74712643678160928</v>
      </c>
      <c r="K22" s="1104">
        <f t="shared" ref="K22" si="6">MAX(I22:J22)</f>
        <v>0.94081687762475719</v>
      </c>
      <c r="L22" s="74"/>
      <c r="M22" s="74"/>
      <c r="N22" s="74"/>
      <c r="O22" s="74"/>
      <c r="P22" s="74"/>
      <c r="Q22" s="74"/>
      <c r="R22" s="74"/>
      <c r="S22" s="74"/>
      <c r="T22" s="74"/>
      <c r="U22" s="74"/>
      <c r="V22" s="74"/>
      <c r="W22" s="1105"/>
    </row>
    <row r="23" spans="1:23" s="1106" customFormat="1" ht="17.100000000000001" customHeight="1" x14ac:dyDescent="0.3">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0.74712643678160928</v>
      </c>
      <c r="K23" s="1104">
        <f t="shared" si="1"/>
        <v>0.94081687762475719</v>
      </c>
      <c r="L23" s="74"/>
      <c r="M23" s="74"/>
      <c r="N23" s="74"/>
      <c r="O23" s="74"/>
      <c r="P23" s="74"/>
      <c r="Q23" s="74"/>
      <c r="R23" s="74"/>
      <c r="S23" s="74"/>
      <c r="T23" s="74"/>
      <c r="U23" s="74"/>
      <c r="V23" s="74"/>
      <c r="W23" s="1105"/>
    </row>
    <row r="24" spans="1:23" s="1106" customFormat="1" ht="17.100000000000001" customHeight="1" x14ac:dyDescent="0.3">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0.74712643678160928</v>
      </c>
      <c r="K24" s="1104">
        <f t="shared" si="1"/>
        <v>0.88699221817662599</v>
      </c>
      <c r="L24" s="74"/>
      <c r="M24" s="74"/>
      <c r="N24" s="74"/>
      <c r="O24" s="74"/>
      <c r="P24" s="74"/>
      <c r="Q24" s="74"/>
      <c r="R24" s="74"/>
      <c r="S24" s="74"/>
      <c r="T24" s="74"/>
      <c r="U24" s="74"/>
      <c r="V24" s="74"/>
      <c r="W24" s="1105"/>
    </row>
    <row r="25" spans="1:23" s="1106" customFormat="1" ht="17.100000000000001" customHeight="1" x14ac:dyDescent="0.3">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0.74712643678160928</v>
      </c>
      <c r="K25" s="1104">
        <f t="shared" si="1"/>
        <v>0.93890859448324615</v>
      </c>
      <c r="L25" s="74"/>
      <c r="M25" s="74"/>
      <c r="N25" s="74"/>
      <c r="O25" s="74"/>
      <c r="P25" s="74"/>
      <c r="Q25" s="74"/>
      <c r="R25" s="74"/>
      <c r="S25" s="74"/>
      <c r="T25" s="74"/>
      <c r="U25" s="74"/>
      <c r="V25" s="74"/>
      <c r="W25" s="1105"/>
    </row>
    <row r="26" spans="1:23" s="1106" customFormat="1" ht="17.100000000000001" customHeight="1" x14ac:dyDescent="0.3">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0.74712643678160928</v>
      </c>
      <c r="K26" s="1104">
        <f t="shared" si="1"/>
        <v>0.94081687762475719</v>
      </c>
      <c r="L26" s="74"/>
      <c r="M26" s="74"/>
      <c r="N26" s="74"/>
      <c r="O26" s="74"/>
      <c r="P26" s="74"/>
      <c r="Q26" s="74"/>
      <c r="R26" s="74"/>
      <c r="S26" s="74"/>
      <c r="T26" s="74"/>
      <c r="U26" s="74"/>
      <c r="V26" s="74"/>
      <c r="W26" s="1105"/>
    </row>
    <row r="27" spans="1:23" s="1106" customFormat="1" ht="17.100000000000001" customHeight="1" x14ac:dyDescent="0.3">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0.74712643678160928</v>
      </c>
      <c r="K27" s="1104">
        <f t="shared" ref="K27" si="7">MAX(I27:J27)</f>
        <v>0.84977584737043255</v>
      </c>
      <c r="L27" s="74"/>
      <c r="M27" s="74"/>
      <c r="N27" s="74"/>
      <c r="O27" s="74"/>
      <c r="P27" s="74"/>
      <c r="Q27" s="74"/>
      <c r="R27" s="74"/>
      <c r="S27" s="74"/>
      <c r="T27" s="74"/>
      <c r="U27" s="74"/>
      <c r="V27" s="74"/>
      <c r="W27" s="1105"/>
    </row>
    <row r="28" spans="1:23" s="1106" customFormat="1" ht="17.100000000000001" customHeight="1" x14ac:dyDescent="0.3">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0.74712643678160928</v>
      </c>
      <c r="K28" s="1104">
        <f t="shared" si="1"/>
        <v>0.94081687762475719</v>
      </c>
      <c r="L28" s="74"/>
      <c r="M28" s="74"/>
      <c r="N28" s="74"/>
      <c r="O28" s="74"/>
      <c r="P28" s="74"/>
      <c r="Q28" s="74"/>
      <c r="R28" s="74"/>
      <c r="S28" s="74"/>
      <c r="T28" s="74"/>
      <c r="U28" s="74"/>
      <c r="V28" s="74"/>
      <c r="W28" s="1105"/>
    </row>
    <row r="29" spans="1:23" s="1106" customFormat="1" ht="17.100000000000001" customHeight="1" x14ac:dyDescent="0.3">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0.74712643678160928</v>
      </c>
      <c r="K29" s="1104">
        <f t="shared" si="1"/>
        <v>1.0622198092130406</v>
      </c>
      <c r="L29" s="74"/>
      <c r="M29" s="74"/>
      <c r="N29" s="74"/>
      <c r="O29" s="74"/>
      <c r="P29" s="74"/>
      <c r="Q29" s="74"/>
      <c r="R29" s="74"/>
      <c r="S29" s="74"/>
      <c r="T29" s="74"/>
      <c r="U29" s="74"/>
      <c r="V29" s="74"/>
      <c r="W29" s="1105"/>
    </row>
    <row r="30" spans="1:23" s="1106" customFormat="1" ht="17.100000000000001" customHeight="1" x14ac:dyDescent="0.3">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0.74712643678160928</v>
      </c>
      <c r="K30" s="1104">
        <f t="shared" si="1"/>
        <v>0.97984936103376874</v>
      </c>
      <c r="L30" s="74"/>
      <c r="M30" s="74"/>
      <c r="N30" s="74"/>
      <c r="O30" s="74"/>
      <c r="P30" s="74"/>
      <c r="Q30" s="74"/>
      <c r="R30" s="74"/>
      <c r="S30" s="74"/>
      <c r="T30" s="74"/>
      <c r="U30" s="74"/>
      <c r="V30" s="74"/>
      <c r="W30" s="1105"/>
    </row>
    <row r="31" spans="1:23" s="1106" customFormat="1" ht="17.100000000000001" customHeight="1" x14ac:dyDescent="0.3">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0.74712643678160928</v>
      </c>
      <c r="K31" s="1104">
        <f t="shared" si="1"/>
        <v>0.89371490725225611</v>
      </c>
      <c r="L31" s="74"/>
      <c r="M31" s="74"/>
      <c r="N31" s="74"/>
      <c r="O31" s="74"/>
      <c r="P31" s="74"/>
      <c r="Q31" s="74"/>
      <c r="R31" s="74"/>
      <c r="S31" s="74"/>
      <c r="T31" s="74"/>
      <c r="U31" s="74"/>
      <c r="V31" s="74"/>
      <c r="W31" s="1105"/>
    </row>
    <row r="32" spans="1:23" s="1106" customFormat="1" ht="17.100000000000001" customHeight="1" x14ac:dyDescent="0.3">
      <c r="A32" s="977" t="s">
        <v>1168</v>
      </c>
      <c r="B32" s="1099" t="str">
        <f t="shared" si="0"/>
        <v>нет в спискемонолит</v>
      </c>
      <c r="C32" s="947" t="s">
        <v>1515</v>
      </c>
      <c r="D32" s="1107"/>
      <c r="E32" s="1107"/>
      <c r="F32" s="1101"/>
      <c r="G32" s="1107"/>
      <c r="H32" s="1107"/>
      <c r="I32" s="1108">
        <f>J32</f>
        <v>0.74712643678160928</v>
      </c>
      <c r="J32" s="1103">
        <f>1*('Ввод исходных данных'!$D$83-'Расчет базового уровня'!$D$145)/(6*8.7)</f>
        <v>0.74712643678160928</v>
      </c>
      <c r="K32" s="1104">
        <f t="shared" ref="K32" si="8">MAX(I32:J32)</f>
        <v>0.74712643678160928</v>
      </c>
      <c r="L32" s="74"/>
      <c r="M32" s="74"/>
      <c r="N32" s="74"/>
      <c r="O32" s="74"/>
      <c r="P32" s="74"/>
      <c r="Q32" s="74"/>
      <c r="R32" s="74"/>
      <c r="S32" s="74"/>
      <c r="T32" s="74"/>
      <c r="U32" s="74"/>
      <c r="V32" s="74"/>
      <c r="W32" s="1105"/>
    </row>
    <row r="33" spans="1:23" s="1106" customFormat="1" ht="17.100000000000001" customHeight="1" x14ac:dyDescent="0.3">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0.74712643678160928</v>
      </c>
      <c r="K33" s="1104">
        <f t="shared" si="1"/>
        <v>0.84977584737043255</v>
      </c>
      <c r="L33" s="74"/>
      <c r="M33" s="74"/>
      <c r="N33" s="74"/>
      <c r="O33" s="74"/>
      <c r="P33" s="74"/>
      <c r="Q33" s="74"/>
      <c r="R33" s="74"/>
      <c r="S33" s="74"/>
      <c r="T33" s="74"/>
      <c r="U33" s="74"/>
      <c r="V33" s="74"/>
      <c r="W33" s="1105"/>
    </row>
    <row r="34" spans="1:23" s="1106" customFormat="1" ht="17.100000000000001" customHeight="1" x14ac:dyDescent="0.3">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3">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3">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3">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3">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5">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3">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3">
      <c r="A41" s="74"/>
      <c r="B41" s="74"/>
      <c r="C41" s="74"/>
      <c r="D41" s="74"/>
      <c r="E41" s="74"/>
      <c r="F41" s="74"/>
      <c r="G41" s="74"/>
      <c r="H41" s="74"/>
      <c r="I41" s="74"/>
      <c r="J41" s="74"/>
      <c r="K41" s="74"/>
      <c r="L41" s="74"/>
      <c r="M41" s="74"/>
      <c r="N41" s="74"/>
      <c r="O41" s="74"/>
      <c r="P41" s="74"/>
      <c r="Q41" s="74"/>
      <c r="R41" s="74"/>
      <c r="S41" s="74"/>
      <c r="T41" s="74"/>
      <c r="U41" s="74"/>
      <c r="V41" s="74"/>
    </row>
    <row r="42" spans="1:23" x14ac:dyDescent="0.3">
      <c r="A42" s="74"/>
      <c r="B42" s="74"/>
      <c r="C42" s="74"/>
      <c r="D42" s="74"/>
      <c r="E42" s="74"/>
      <c r="F42" s="74"/>
      <c r="G42" s="74"/>
      <c r="H42" s="74"/>
      <c r="I42" s="74"/>
      <c r="J42" s="74"/>
      <c r="K42" s="74"/>
      <c r="L42" s="74"/>
      <c r="M42" s="74"/>
      <c r="N42" s="74"/>
      <c r="O42" s="74"/>
      <c r="P42" s="74"/>
      <c r="Q42" s="74"/>
      <c r="R42" s="74"/>
      <c r="S42" s="74"/>
      <c r="T42" s="74"/>
      <c r="U42" s="74"/>
      <c r="V42" s="74"/>
    </row>
    <row r="43" spans="1:23" x14ac:dyDescent="0.3">
      <c r="A43" s="95"/>
      <c r="B43" s="95" t="s">
        <v>1510</v>
      </c>
      <c r="C43" s="1121"/>
      <c r="L43" s="74"/>
      <c r="M43" s="74"/>
      <c r="N43" s="74"/>
      <c r="O43" s="74"/>
      <c r="P43" s="74"/>
      <c r="Q43" s="74"/>
      <c r="R43" s="74"/>
      <c r="S43" s="74"/>
      <c r="T43" s="74"/>
      <c r="U43" s="74"/>
      <c r="V43" s="74"/>
    </row>
    <row r="44" spans="1:23" ht="18" customHeight="1" x14ac:dyDescent="0.3">
      <c r="A44" s="95" t="s">
        <v>514</v>
      </c>
      <c r="B44" s="1122">
        <f>1*('Ввод исходных данных'!$D$83-'Расчет базового уровня'!$D$145)/(6*8.7)</f>
        <v>0.74712643678160928</v>
      </c>
    </row>
    <row r="45" spans="1:23" x14ac:dyDescent="0.3">
      <c r="A45" s="95" t="s">
        <v>865</v>
      </c>
      <c r="B45" s="1122">
        <f>0.6*B44</f>
        <v>0.44827586206896558</v>
      </c>
    </row>
    <row r="46" spans="1:23" ht="15" customHeight="1" x14ac:dyDescent="0.35">
      <c r="A46" s="95" t="s">
        <v>864</v>
      </c>
      <c r="B46" s="1122">
        <f>IF(C2&gt;25,IF(C2&gt;44, IF(C2&gt;49,0.52,0.38),0.34), 0.17)</f>
        <v>0.34</v>
      </c>
      <c r="I46" s="1123"/>
    </row>
    <row r="47" spans="1:23" x14ac:dyDescent="0.3">
      <c r="A47" s="274" t="s">
        <v>1329</v>
      </c>
      <c r="B47" s="1124">
        <v>1.32</v>
      </c>
    </row>
    <row r="48" spans="1:23" x14ac:dyDescent="0.3">
      <c r="A48" s="274" t="s">
        <v>1333</v>
      </c>
      <c r="B48" s="1124">
        <f>1*('Ввод исходных данных'!$D$83-'Расчет базового уровня'!$D$145)/(6*8.7)</f>
        <v>0.74712643678160928</v>
      </c>
    </row>
    <row r="49" spans="1:3" x14ac:dyDescent="0.3">
      <c r="A49" s="274" t="s">
        <v>1334</v>
      </c>
      <c r="B49" s="1124">
        <f>1*('Ввод исходных данных'!$D$83-'Расчет базового уровня'!$D$145)/(3*8.7)</f>
        <v>1.4942528735632186</v>
      </c>
    </row>
    <row r="50" spans="1:3" ht="17.25" customHeight="1" x14ac:dyDescent="0.3">
      <c r="A50" s="274" t="s">
        <v>1308</v>
      </c>
      <c r="B50" s="1124">
        <f>0.4*('Ввод исходных данных'!$D$83-'Расчет базового уровня'!$D$145)/(4*8.7)</f>
        <v>0.44827586206896558</v>
      </c>
    </row>
    <row r="51" spans="1:3" x14ac:dyDescent="0.3">
      <c r="A51" s="274" t="s">
        <v>1304</v>
      </c>
      <c r="B51" s="1124">
        <f>B44</f>
        <v>0.74712643678160928</v>
      </c>
    </row>
    <row r="52" spans="1:3" x14ac:dyDescent="0.3">
      <c r="A52" s="1125" t="s">
        <v>937</v>
      </c>
    </row>
    <row r="53" spans="1:3" ht="42" x14ac:dyDescent="0.3">
      <c r="A53" s="1126" t="s">
        <v>938</v>
      </c>
      <c r="B53" s="1127" t="s">
        <v>939</v>
      </c>
      <c r="C53" s="1128"/>
    </row>
    <row r="54" spans="1:3" x14ac:dyDescent="0.3">
      <c r="A54" s="1129"/>
      <c r="B54" s="1130" t="s">
        <v>971</v>
      </c>
      <c r="C54" s="1130" t="s">
        <v>932</v>
      </c>
    </row>
    <row r="55" spans="1:3" x14ac:dyDescent="0.3">
      <c r="A55" s="1131" t="s">
        <v>940</v>
      </c>
      <c r="B55" s="1130">
        <v>0.4</v>
      </c>
      <c r="C55" s="1130"/>
    </row>
    <row r="56" spans="1:3" ht="22.8" x14ac:dyDescent="0.3">
      <c r="A56" s="1131" t="s">
        <v>941</v>
      </c>
      <c r="B56" s="1130">
        <v>0.44</v>
      </c>
      <c r="C56" s="1132">
        <v>0.34</v>
      </c>
    </row>
    <row r="57" spans="1:3" ht="22.8" x14ac:dyDescent="0.3">
      <c r="A57" s="1133" t="s">
        <v>942</v>
      </c>
      <c r="B57" s="1134"/>
      <c r="C57" s="1135"/>
    </row>
    <row r="58" spans="1:3" ht="24.75" customHeight="1" x14ac:dyDescent="0.3">
      <c r="A58" s="1136" t="s">
        <v>943</v>
      </c>
      <c r="B58" s="1137" t="s">
        <v>945</v>
      </c>
      <c r="C58" s="1138"/>
    </row>
    <row r="59" spans="1:3" x14ac:dyDescent="0.3">
      <c r="A59" s="1136" t="s">
        <v>944</v>
      </c>
      <c r="B59" s="1137" t="s">
        <v>946</v>
      </c>
      <c r="C59" s="1138"/>
    </row>
    <row r="60" spans="1:3" ht="22.5" customHeight="1" x14ac:dyDescent="0.3">
      <c r="A60" s="1131" t="s">
        <v>947</v>
      </c>
      <c r="B60" s="1139" t="s">
        <v>945</v>
      </c>
      <c r="C60" s="1140"/>
    </row>
    <row r="61" spans="1:3" ht="22.8" x14ac:dyDescent="0.3">
      <c r="A61" s="1131" t="s">
        <v>948</v>
      </c>
      <c r="B61" s="1130">
        <v>0.36</v>
      </c>
      <c r="C61" s="1130"/>
    </row>
    <row r="62" spans="1:3" ht="22.8" x14ac:dyDescent="0.3">
      <c r="A62" s="1131" t="s">
        <v>949</v>
      </c>
      <c r="B62" s="1130">
        <v>0.52</v>
      </c>
      <c r="C62" s="1130"/>
    </row>
    <row r="63" spans="1:3" ht="25.5" customHeight="1" x14ac:dyDescent="0.3">
      <c r="A63" s="1131" t="s">
        <v>950</v>
      </c>
      <c r="B63" s="1130">
        <v>0.55000000000000004</v>
      </c>
      <c r="C63" s="1130">
        <v>0.46</v>
      </c>
    </row>
    <row r="64" spans="1:3" x14ac:dyDescent="0.3">
      <c r="A64" s="1141" t="s">
        <v>951</v>
      </c>
      <c r="B64" s="1142"/>
      <c r="C64" s="1142"/>
    </row>
    <row r="65" spans="1:3" x14ac:dyDescent="0.3">
      <c r="A65" s="1143" t="s">
        <v>952</v>
      </c>
      <c r="B65" s="1136">
        <v>0.38</v>
      </c>
      <c r="C65" s="1136">
        <v>0.34</v>
      </c>
    </row>
    <row r="66" spans="1:3" x14ac:dyDescent="0.3">
      <c r="A66" s="1143" t="s">
        <v>953</v>
      </c>
      <c r="B66" s="1136">
        <v>0.51</v>
      </c>
      <c r="C66" s="1136">
        <v>0.43</v>
      </c>
    </row>
    <row r="67" spans="1:3" ht="36.75" customHeight="1" x14ac:dyDescent="0.3">
      <c r="A67" s="1144" t="s">
        <v>954</v>
      </c>
      <c r="B67" s="1145">
        <v>0.56000000000000005</v>
      </c>
      <c r="C67" s="1145">
        <v>0.47</v>
      </c>
    </row>
    <row r="68" spans="1:3" ht="36.75" customHeight="1" x14ac:dyDescent="0.3">
      <c r="A68" s="1141" t="s">
        <v>955</v>
      </c>
      <c r="B68" s="1142"/>
      <c r="C68" s="1142"/>
    </row>
    <row r="69" spans="1:3" x14ac:dyDescent="0.3">
      <c r="A69" s="1143" t="s">
        <v>956</v>
      </c>
      <c r="B69" s="1136">
        <v>0.51</v>
      </c>
      <c r="C69" s="1136">
        <v>0.43</v>
      </c>
    </row>
    <row r="70" spans="1:3" ht="22.8" x14ac:dyDescent="0.3">
      <c r="A70" s="1143" t="s">
        <v>957</v>
      </c>
      <c r="B70" s="1136">
        <v>0.54</v>
      </c>
      <c r="C70" s="1136">
        <v>0.45</v>
      </c>
    </row>
    <row r="71" spans="1:3" x14ac:dyDescent="0.3">
      <c r="A71" s="1143" t="s">
        <v>953</v>
      </c>
      <c r="B71" s="1136">
        <v>0.57999999999999996</v>
      </c>
      <c r="C71" s="1136">
        <v>0.48</v>
      </c>
    </row>
    <row r="72" spans="1:3" x14ac:dyDescent="0.3">
      <c r="A72" s="1143" t="s">
        <v>954</v>
      </c>
      <c r="B72" s="1136">
        <v>0.68</v>
      </c>
      <c r="C72" s="1136">
        <v>0.52</v>
      </c>
    </row>
    <row r="73" spans="1:3" ht="22.8" x14ac:dyDescent="0.3">
      <c r="A73" s="1144" t="s">
        <v>958</v>
      </c>
      <c r="B73" s="1145">
        <v>0.65</v>
      </c>
      <c r="C73" s="1145">
        <v>0.53</v>
      </c>
    </row>
    <row r="74" spans="1:3" ht="22.5" customHeight="1" x14ac:dyDescent="0.3">
      <c r="A74" s="1844" t="s">
        <v>959</v>
      </c>
      <c r="B74" s="1845"/>
      <c r="C74" s="1846"/>
    </row>
    <row r="75" spans="1:3" ht="45" customHeight="1" x14ac:dyDescent="0.3">
      <c r="A75" s="1143" t="s">
        <v>952</v>
      </c>
      <c r="B75" s="1136">
        <v>0.56000000000000005</v>
      </c>
      <c r="C75" s="1136"/>
    </row>
    <row r="76" spans="1:3" ht="56.25" customHeight="1" x14ac:dyDescent="0.3">
      <c r="A76" s="1143" t="s">
        <v>953</v>
      </c>
      <c r="B76" s="1136">
        <v>0.65</v>
      </c>
      <c r="C76" s="1136"/>
    </row>
    <row r="77" spans="1:3" ht="33.75" customHeight="1" x14ac:dyDescent="0.3">
      <c r="A77" s="1143" t="s">
        <v>954</v>
      </c>
      <c r="B77" s="1136">
        <v>0.72</v>
      </c>
      <c r="C77" s="1136"/>
    </row>
    <row r="78" spans="1:3" ht="22.8" x14ac:dyDescent="0.3">
      <c r="A78" s="1143" t="s">
        <v>958</v>
      </c>
      <c r="B78" s="1145">
        <v>0.69</v>
      </c>
      <c r="C78" s="1145"/>
    </row>
    <row r="79" spans="1:3" x14ac:dyDescent="0.3">
      <c r="A79" s="1844" t="s">
        <v>960</v>
      </c>
      <c r="B79" s="1845"/>
      <c r="C79" s="1846"/>
    </row>
    <row r="80" spans="1:3" x14ac:dyDescent="0.3">
      <c r="A80" s="1143" t="s">
        <v>952</v>
      </c>
      <c r="B80" s="1136">
        <v>0.68</v>
      </c>
      <c r="C80" s="1136" t="s">
        <v>746</v>
      </c>
    </row>
    <row r="81" spans="1:15" s="1146" customFormat="1" ht="13.5" customHeight="1" x14ac:dyDescent="0.3">
      <c r="A81" s="1143" t="s">
        <v>953</v>
      </c>
      <c r="B81" s="1136">
        <v>0.74</v>
      </c>
      <c r="C81" s="1136" t="s">
        <v>746</v>
      </c>
      <c r="D81" s="75"/>
      <c r="E81" s="75"/>
      <c r="F81" s="75"/>
      <c r="G81" s="75"/>
      <c r="H81" s="75"/>
      <c r="I81" s="75"/>
      <c r="J81" s="75"/>
      <c r="K81" s="75"/>
      <c r="L81" s="75"/>
      <c r="M81" s="75"/>
      <c r="N81" s="75"/>
      <c r="O81" s="75"/>
    </row>
    <row r="82" spans="1:15" s="1146" customFormat="1" ht="13.5" customHeight="1" x14ac:dyDescent="0.3">
      <c r="A82" s="1143" t="s">
        <v>954</v>
      </c>
      <c r="B82" s="1136">
        <v>0.81</v>
      </c>
      <c r="C82" s="1136" t="s">
        <v>746</v>
      </c>
      <c r="D82" s="75"/>
      <c r="E82" s="75"/>
      <c r="F82" s="75"/>
      <c r="G82" s="75"/>
      <c r="H82" s="75"/>
      <c r="I82" s="75"/>
      <c r="J82" s="75"/>
      <c r="K82" s="75"/>
      <c r="L82" s="75"/>
      <c r="M82" s="75"/>
      <c r="N82" s="75"/>
      <c r="O82" s="75"/>
    </row>
    <row r="83" spans="1:15" s="1146" customFormat="1" ht="13.5" customHeight="1" x14ac:dyDescent="0.3">
      <c r="A83" s="1143" t="s">
        <v>958</v>
      </c>
      <c r="B83" s="1145">
        <v>0.82</v>
      </c>
      <c r="C83" s="1145" t="s">
        <v>746</v>
      </c>
      <c r="D83" s="75"/>
      <c r="E83" s="75"/>
      <c r="F83" s="75"/>
      <c r="G83" s="75"/>
      <c r="H83" s="75"/>
      <c r="I83" s="75"/>
      <c r="J83" s="75"/>
      <c r="K83" s="75"/>
      <c r="L83" s="75"/>
      <c r="M83" s="75"/>
      <c r="N83" s="75"/>
      <c r="O83" s="75"/>
    </row>
    <row r="84" spans="1:15" s="1146" customFormat="1" ht="13.5" customHeight="1" x14ac:dyDescent="0.3">
      <c r="A84" s="1147" t="s">
        <v>961</v>
      </c>
      <c r="B84" s="1130">
        <v>0.7</v>
      </c>
      <c r="C84" s="1130" t="s">
        <v>746</v>
      </c>
      <c r="D84" s="75"/>
      <c r="E84" s="75"/>
      <c r="F84" s="75"/>
      <c r="G84" s="75"/>
      <c r="H84" s="75"/>
      <c r="I84" s="75"/>
      <c r="J84" s="75"/>
      <c r="K84" s="75"/>
      <c r="L84" s="75"/>
      <c r="M84" s="75"/>
      <c r="N84" s="75"/>
      <c r="O84" s="75"/>
    </row>
    <row r="85" spans="1:15" s="1146" customFormat="1" ht="13.5" customHeight="1" x14ac:dyDescent="0.3">
      <c r="A85" s="1131" t="s">
        <v>962</v>
      </c>
      <c r="B85" s="1130">
        <v>0.74</v>
      </c>
      <c r="C85" s="1130" t="s">
        <v>746</v>
      </c>
      <c r="D85" s="75"/>
      <c r="E85" s="75"/>
      <c r="F85" s="75"/>
      <c r="G85" s="75"/>
      <c r="H85" s="75"/>
      <c r="I85" s="75"/>
      <c r="J85" s="75"/>
      <c r="K85" s="75"/>
      <c r="L85" s="75"/>
      <c r="M85" s="75"/>
      <c r="N85" s="75"/>
      <c r="O85" s="75"/>
    </row>
    <row r="86" spans="1:15" s="1146" customFormat="1" ht="13.5" customHeight="1" x14ac:dyDescent="0.3">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3">
      <c r="A87" s="1148" t="s">
        <v>965</v>
      </c>
      <c r="B87" s="1149"/>
      <c r="C87" s="1150"/>
      <c r="D87" s="75"/>
      <c r="E87" s="75"/>
      <c r="F87" s="75"/>
      <c r="G87" s="75"/>
      <c r="H87" s="75"/>
      <c r="I87" s="75"/>
      <c r="J87" s="75"/>
      <c r="K87" s="75"/>
      <c r="L87" s="75"/>
      <c r="M87" s="75"/>
      <c r="N87" s="75"/>
      <c r="O87" s="75"/>
    </row>
    <row r="88" spans="1:15" s="1146" customFormat="1" ht="13.5" customHeight="1" x14ac:dyDescent="0.3">
      <c r="A88" s="1151"/>
      <c r="B88" s="1152"/>
      <c r="C88" s="1153"/>
      <c r="D88" s="75"/>
      <c r="E88" s="75"/>
      <c r="F88" s="75"/>
      <c r="G88" s="75"/>
      <c r="H88" s="75"/>
      <c r="I88" s="75"/>
      <c r="J88" s="75"/>
      <c r="K88" s="75"/>
      <c r="L88" s="75"/>
      <c r="M88" s="75"/>
      <c r="N88" s="75"/>
      <c r="O88" s="75"/>
    </row>
    <row r="89" spans="1:15" s="1146" customFormat="1" ht="13.5" customHeight="1" x14ac:dyDescent="0.3">
      <c r="A89" s="1154" t="s">
        <v>966</v>
      </c>
      <c r="B89" s="1155"/>
      <c r="C89" s="1156"/>
      <c r="D89" s="75"/>
      <c r="E89" s="75"/>
      <c r="F89" s="75"/>
      <c r="G89" s="75"/>
      <c r="H89" s="75"/>
      <c r="I89" s="75"/>
      <c r="J89" s="75"/>
      <c r="K89" s="75"/>
      <c r="L89" s="75"/>
      <c r="M89" s="75"/>
      <c r="N89" s="75"/>
      <c r="O89" s="75"/>
    </row>
    <row r="90" spans="1:15" s="1146" customFormat="1" ht="13.5" customHeight="1" x14ac:dyDescent="0.3">
      <c r="A90" s="1847" t="s">
        <v>967</v>
      </c>
      <c r="B90" s="1848"/>
      <c r="C90" s="1849"/>
      <c r="D90" s="75"/>
      <c r="E90" s="75"/>
      <c r="F90" s="75"/>
      <c r="G90" s="75"/>
      <c r="H90" s="75"/>
      <c r="I90" s="75"/>
      <c r="J90" s="75"/>
      <c r="K90" s="75"/>
      <c r="L90" s="75"/>
      <c r="M90" s="75"/>
      <c r="N90" s="75"/>
      <c r="O90" s="75"/>
    </row>
    <row r="91" spans="1:15" s="1146" customFormat="1" ht="13.5" customHeight="1" x14ac:dyDescent="0.3">
      <c r="A91" s="1847" t="s">
        <v>968</v>
      </c>
      <c r="B91" s="1848"/>
      <c r="C91" s="1849"/>
      <c r="D91" s="75"/>
      <c r="E91" s="75"/>
      <c r="F91" s="75"/>
      <c r="G91" s="75"/>
      <c r="H91" s="75"/>
      <c r="I91" s="75"/>
      <c r="J91" s="75"/>
      <c r="K91" s="75"/>
      <c r="L91" s="75"/>
      <c r="M91" s="75"/>
      <c r="N91" s="75"/>
      <c r="O91" s="75"/>
    </row>
    <row r="92" spans="1:15" s="1146" customFormat="1" ht="13.5" customHeight="1" x14ac:dyDescent="0.3">
      <c r="A92" s="1847" t="s">
        <v>969</v>
      </c>
      <c r="B92" s="1848"/>
      <c r="C92" s="1849"/>
      <c r="D92" s="75"/>
      <c r="E92" s="75"/>
      <c r="F92" s="75"/>
      <c r="G92" s="75"/>
      <c r="H92" s="75"/>
      <c r="I92" s="75"/>
      <c r="J92" s="75"/>
      <c r="K92" s="75"/>
      <c r="L92" s="75"/>
      <c r="M92" s="75"/>
      <c r="N92" s="75"/>
      <c r="O92" s="75"/>
    </row>
    <row r="93" spans="1:15" s="1146" customFormat="1" ht="13.5" customHeight="1" x14ac:dyDescent="0.3">
      <c r="A93" s="1841" t="s">
        <v>970</v>
      </c>
      <c r="B93" s="1842"/>
      <c r="C93" s="1843"/>
      <c r="D93" s="75"/>
      <c r="E93" s="75"/>
      <c r="F93" s="75"/>
      <c r="G93" s="75"/>
      <c r="H93" s="75"/>
      <c r="I93" s="75"/>
      <c r="J93" s="75"/>
      <c r="K93" s="75"/>
      <c r="L93" s="75"/>
      <c r="M93" s="75"/>
      <c r="N93" s="75"/>
      <c r="O93" s="75"/>
    </row>
    <row r="94" spans="1:15" s="1146" customFormat="1" ht="13.5" customHeight="1" x14ac:dyDescent="0.3">
      <c r="A94" s="75"/>
      <c r="B94" s="75"/>
      <c r="C94" s="75"/>
      <c r="D94" s="75"/>
      <c r="E94" s="75"/>
      <c r="F94" s="75"/>
      <c r="G94" s="75"/>
      <c r="H94" s="75"/>
      <c r="I94" s="75"/>
      <c r="J94" s="75"/>
      <c r="K94" s="75"/>
      <c r="L94" s="75"/>
      <c r="M94" s="75"/>
      <c r="N94" s="75"/>
      <c r="O94" s="75"/>
    </row>
    <row r="95" spans="1:15" s="1146" customFormat="1" ht="13.5" customHeight="1" x14ac:dyDescent="0.3">
      <c r="A95" s="75"/>
      <c r="B95" s="75"/>
      <c r="C95" s="75"/>
      <c r="D95" s="75"/>
      <c r="E95" s="75"/>
      <c r="F95" s="75"/>
      <c r="G95" s="75"/>
      <c r="H95" s="75"/>
      <c r="I95" s="75"/>
      <c r="J95" s="75"/>
      <c r="K95" s="75"/>
      <c r="L95" s="75"/>
      <c r="M95" s="75"/>
      <c r="N95" s="75"/>
      <c r="O95" s="75"/>
    </row>
    <row r="96" spans="1:15" s="1146" customFormat="1" ht="13.5" customHeight="1" x14ac:dyDescent="0.3">
      <c r="A96" s="75"/>
      <c r="B96" s="75"/>
      <c r="C96" s="75"/>
      <c r="D96" s="75"/>
      <c r="E96" s="75"/>
      <c r="F96" s="75"/>
      <c r="G96" s="75"/>
      <c r="H96" s="75"/>
      <c r="I96" s="75"/>
      <c r="J96" s="75"/>
      <c r="K96" s="75"/>
      <c r="L96" s="75"/>
      <c r="M96" s="75"/>
      <c r="N96" s="75"/>
      <c r="O96" s="75"/>
    </row>
    <row r="97" spans="1:8" s="1146" customFormat="1" ht="13.5" customHeight="1" x14ac:dyDescent="0.3">
      <c r="A97" s="1859" t="s">
        <v>901</v>
      </c>
      <c r="B97" s="1860" t="s">
        <v>1005</v>
      </c>
      <c r="C97" s="1860"/>
      <c r="D97" s="1860"/>
      <c r="E97" s="1860" t="s">
        <v>1006</v>
      </c>
      <c r="F97" s="1860"/>
      <c r="G97" s="1860"/>
      <c r="H97" s="1860"/>
    </row>
    <row r="98" spans="1:8" s="1146" customFormat="1" ht="13.5" customHeight="1" x14ac:dyDescent="0.3">
      <c r="A98" s="1859"/>
      <c r="B98" s="1157" t="s">
        <v>1007</v>
      </c>
      <c r="C98" s="1860" t="s">
        <v>1009</v>
      </c>
      <c r="D98" s="1867" t="s">
        <v>1010</v>
      </c>
      <c r="E98" s="1860" t="s">
        <v>1012</v>
      </c>
      <c r="F98" s="1860"/>
      <c r="G98" s="1860" t="s">
        <v>1015</v>
      </c>
      <c r="H98" s="1860"/>
    </row>
    <row r="99" spans="1:8" s="1146" customFormat="1" ht="13.5" customHeight="1" x14ac:dyDescent="0.3">
      <c r="A99" s="1859"/>
      <c r="B99" s="1157" t="s">
        <v>1008</v>
      </c>
      <c r="C99" s="1860"/>
      <c r="D99" s="1868"/>
      <c r="E99" s="1860" t="s">
        <v>1013</v>
      </c>
      <c r="F99" s="1860"/>
      <c r="G99" s="1860"/>
      <c r="H99" s="1860"/>
    </row>
    <row r="100" spans="1:8" s="1146" customFormat="1" ht="13.5" customHeight="1" x14ac:dyDescent="0.3">
      <c r="A100" s="1859"/>
      <c r="B100" s="1158"/>
      <c r="C100" s="1860"/>
      <c r="D100" s="1869"/>
      <c r="E100" s="1860" t="s">
        <v>1014</v>
      </c>
      <c r="F100" s="1860"/>
      <c r="G100" s="1860"/>
      <c r="H100" s="1860"/>
    </row>
    <row r="101" spans="1:8" s="1146" customFormat="1" ht="13.5" customHeight="1" x14ac:dyDescent="0.3">
      <c r="A101" s="1859"/>
      <c r="B101" s="1158"/>
      <c r="C101" s="1860"/>
      <c r="D101" s="1157" t="s">
        <v>1011</v>
      </c>
      <c r="E101" s="1157" t="s">
        <v>563</v>
      </c>
      <c r="F101" s="1157" t="s">
        <v>925</v>
      </c>
      <c r="G101" s="1157" t="s">
        <v>563</v>
      </c>
      <c r="H101" s="1159" t="s">
        <v>925</v>
      </c>
    </row>
    <row r="102" spans="1:8" s="1146" customFormat="1" ht="13.5" customHeight="1" x14ac:dyDescent="0.3">
      <c r="A102" s="1160"/>
      <c r="B102" s="1157"/>
      <c r="C102" s="1157"/>
      <c r="D102" s="1157"/>
      <c r="E102" s="1157"/>
      <c r="F102" s="1157"/>
      <c r="G102" s="1157"/>
      <c r="H102" s="1157"/>
    </row>
    <row r="103" spans="1:8" s="1146" customFormat="1" ht="13.5" customHeight="1" x14ac:dyDescent="0.3">
      <c r="A103" s="1862" t="s">
        <v>1016</v>
      </c>
      <c r="B103" s="1862"/>
      <c r="C103" s="1862"/>
      <c r="D103" s="1862"/>
      <c r="E103" s="1862"/>
      <c r="F103" s="1862"/>
      <c r="G103" s="1862"/>
      <c r="H103" s="1862"/>
    </row>
    <row r="104" spans="1:8" s="1146" customFormat="1" ht="13.5" customHeight="1" x14ac:dyDescent="0.3">
      <c r="A104" s="1861" t="s">
        <v>1017</v>
      </c>
      <c r="B104" s="1861"/>
      <c r="C104" s="1861"/>
      <c r="D104" s="1861"/>
      <c r="E104" s="1861"/>
      <c r="F104" s="1861"/>
      <c r="G104" s="1861"/>
      <c r="H104" s="1861"/>
    </row>
    <row r="105" spans="1:8" s="1146" customFormat="1" ht="13.5" customHeight="1" x14ac:dyDescent="0.3">
      <c r="A105" s="1157" t="s">
        <v>1018</v>
      </c>
      <c r="B105" s="1157">
        <v>150</v>
      </c>
      <c r="C105" s="1157">
        <v>1.34</v>
      </c>
      <c r="D105" s="1157">
        <v>0.05</v>
      </c>
      <c r="E105" s="1157">
        <v>1</v>
      </c>
      <c r="F105" s="1157">
        <v>5</v>
      </c>
      <c r="G105" s="1157">
        <v>5.1999999999999998E-2</v>
      </c>
      <c r="H105" s="1157">
        <v>0.06</v>
      </c>
    </row>
    <row r="106" spans="1:8" s="1146" customFormat="1" ht="13.5" customHeight="1" x14ac:dyDescent="0.3">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3">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3">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3">
      <c r="A109" s="1157" t="s">
        <v>1022</v>
      </c>
      <c r="B109" s="1157">
        <v>24</v>
      </c>
      <c r="C109" s="1157">
        <v>1.34</v>
      </c>
      <c r="D109" s="1157">
        <v>0.04</v>
      </c>
      <c r="E109" s="1157">
        <v>2</v>
      </c>
      <c r="F109" s="1157">
        <v>10</v>
      </c>
      <c r="G109" s="1157">
        <v>0.04</v>
      </c>
      <c r="H109" s="1157">
        <v>4.1000000000000002E-2</v>
      </c>
    </row>
    <row r="110" spans="1:8" s="1146" customFormat="1" ht="13.5" customHeight="1" x14ac:dyDescent="0.3">
      <c r="A110" s="1157" t="s">
        <v>1023</v>
      </c>
      <c r="B110" s="1157">
        <v>25</v>
      </c>
      <c r="C110" s="1157">
        <v>1.34</v>
      </c>
      <c r="D110" s="1157">
        <v>2.9000000000000001E-2</v>
      </c>
      <c r="E110" s="1157">
        <v>2</v>
      </c>
      <c r="F110" s="1157">
        <v>10</v>
      </c>
      <c r="G110" s="1157">
        <v>3.1E-2</v>
      </c>
      <c r="H110" s="1157">
        <v>3.1E-2</v>
      </c>
    </row>
    <row r="111" spans="1:8" s="1146" customFormat="1" ht="13.5" customHeight="1" x14ac:dyDescent="0.3">
      <c r="A111" s="1157" t="s">
        <v>1024</v>
      </c>
      <c r="B111" s="1157">
        <v>28</v>
      </c>
      <c r="C111" s="1157">
        <v>1.34</v>
      </c>
      <c r="D111" s="1157">
        <v>2.9000000000000001E-2</v>
      </c>
      <c r="E111" s="1157">
        <v>2</v>
      </c>
      <c r="F111" s="1157">
        <v>10</v>
      </c>
      <c r="G111" s="1157">
        <v>3.1E-2</v>
      </c>
      <c r="H111" s="1157">
        <v>3.1E-2</v>
      </c>
    </row>
    <row r="112" spans="1:8" s="1146" customFormat="1" ht="13.5" customHeight="1" x14ac:dyDescent="0.3">
      <c r="A112" s="1157" t="s">
        <v>1025</v>
      </c>
      <c r="B112" s="1157">
        <v>33</v>
      </c>
      <c r="C112" s="1157">
        <v>1.34</v>
      </c>
      <c r="D112" s="1157">
        <v>2.9000000000000001E-2</v>
      </c>
      <c r="E112" s="1157">
        <v>2</v>
      </c>
      <c r="F112" s="1157">
        <v>10</v>
      </c>
      <c r="G112" s="1157">
        <v>3.1E-2</v>
      </c>
      <c r="H112" s="1157">
        <v>3.1E-2</v>
      </c>
    </row>
    <row r="113" spans="1:8" s="1146" customFormat="1" ht="13.5" customHeight="1" x14ac:dyDescent="0.3">
      <c r="A113" s="1157" t="s">
        <v>1026</v>
      </c>
      <c r="B113" s="1157">
        <v>35</v>
      </c>
      <c r="C113" s="1157">
        <v>1.34</v>
      </c>
      <c r="D113" s="1157">
        <v>0.03</v>
      </c>
      <c r="E113" s="1157">
        <v>2</v>
      </c>
      <c r="F113" s="1157">
        <v>10</v>
      </c>
      <c r="G113" s="1157">
        <v>3.1E-2</v>
      </c>
      <c r="H113" s="1157">
        <v>3.1E-2</v>
      </c>
    </row>
    <row r="114" spans="1:8" s="1146" customFormat="1" ht="13.5" customHeight="1" x14ac:dyDescent="0.3">
      <c r="A114" s="1157" t="s">
        <v>1027</v>
      </c>
      <c r="B114" s="1157">
        <v>45</v>
      </c>
      <c r="C114" s="1157">
        <v>1.34</v>
      </c>
      <c r="D114" s="1157">
        <v>0.03</v>
      </c>
      <c r="E114" s="1157">
        <v>2</v>
      </c>
      <c r="F114" s="1157">
        <v>10</v>
      </c>
      <c r="G114" s="1157">
        <v>3.1E-2</v>
      </c>
      <c r="H114" s="1157">
        <v>3.1E-2</v>
      </c>
    </row>
    <row r="115" spans="1:8" s="1146" customFormat="1" ht="13.5" customHeight="1" x14ac:dyDescent="0.3">
      <c r="A115" s="1157" t="s">
        <v>1028</v>
      </c>
      <c r="B115" s="1157">
        <v>15</v>
      </c>
      <c r="C115" s="1157">
        <v>1.34</v>
      </c>
      <c r="D115" s="1157">
        <v>3.9E-2</v>
      </c>
      <c r="E115" s="1157">
        <v>2</v>
      </c>
      <c r="F115" s="1157">
        <v>10</v>
      </c>
      <c r="G115" s="1157">
        <v>0.04</v>
      </c>
      <c r="H115" s="1157">
        <v>4.3999999999999997E-2</v>
      </c>
    </row>
    <row r="116" spans="1:8" s="1146" customFormat="1" ht="13.5" customHeight="1" x14ac:dyDescent="0.3">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3">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3">
      <c r="A118" s="1157" t="s">
        <v>1031</v>
      </c>
      <c r="B118" s="1157">
        <v>28</v>
      </c>
      <c r="C118" s="1161">
        <v>1.45</v>
      </c>
      <c r="D118" s="1162">
        <v>2.9000000000000001E-2</v>
      </c>
      <c r="E118" s="1157">
        <v>2</v>
      </c>
      <c r="F118" s="1157">
        <v>10</v>
      </c>
      <c r="G118" s="1157">
        <v>0.03</v>
      </c>
      <c r="H118" s="1157">
        <v>3.1E-2</v>
      </c>
    </row>
    <row r="119" spans="1:8" s="1146" customFormat="1" ht="13.5" customHeight="1" x14ac:dyDescent="0.3">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3">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3">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3">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3">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3">
      <c r="A124" s="1157" t="s">
        <v>1037</v>
      </c>
      <c r="B124" s="1157">
        <v>25</v>
      </c>
      <c r="C124" s="1161">
        <v>1.45</v>
      </c>
      <c r="D124" s="1162">
        <v>2.9000000000000001E-2</v>
      </c>
      <c r="E124" s="1157">
        <v>2</v>
      </c>
      <c r="F124" s="1157">
        <v>10</v>
      </c>
      <c r="G124" s="1157">
        <v>3.1E-2</v>
      </c>
      <c r="H124" s="1157">
        <v>3.1E-2</v>
      </c>
    </row>
    <row r="125" spans="1:8" s="1146" customFormat="1" ht="13.5" customHeight="1" x14ac:dyDescent="0.3">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3">
      <c r="A126" s="1860" t="s">
        <v>1022</v>
      </c>
      <c r="B126" s="1157" t="s">
        <v>1039</v>
      </c>
      <c r="C126" s="1863">
        <v>1.26</v>
      </c>
      <c r="D126" s="1864">
        <v>4.1000000000000002E-2</v>
      </c>
      <c r="E126" s="1860">
        <v>2</v>
      </c>
      <c r="F126" s="1860">
        <v>10</v>
      </c>
      <c r="G126" s="1860">
        <v>0.05</v>
      </c>
      <c r="H126" s="1860">
        <v>5.1999999999999998E-2</v>
      </c>
    </row>
    <row r="127" spans="1:8" s="1146" customFormat="1" ht="13.5" customHeight="1" x14ac:dyDescent="0.3">
      <c r="A127" s="1860"/>
      <c r="B127" s="1157" t="s">
        <v>1040</v>
      </c>
      <c r="C127" s="1863"/>
      <c r="D127" s="1864"/>
      <c r="E127" s="1860"/>
      <c r="F127" s="1860"/>
      <c r="G127" s="1860"/>
      <c r="H127" s="1860"/>
    </row>
    <row r="128" spans="1:8" s="1146" customFormat="1" ht="13.5" customHeight="1" x14ac:dyDescent="0.3">
      <c r="A128" s="1157" t="s">
        <v>1041</v>
      </c>
      <c r="B128" s="1157">
        <v>80</v>
      </c>
      <c r="C128" s="1161">
        <v>1.47</v>
      </c>
      <c r="D128" s="1162">
        <v>4.1000000000000002E-2</v>
      </c>
      <c r="E128" s="1157">
        <v>2</v>
      </c>
      <c r="F128" s="1157">
        <v>5</v>
      </c>
      <c r="G128" s="1157">
        <v>0.05</v>
      </c>
      <c r="H128" s="1157">
        <v>0.05</v>
      </c>
    </row>
    <row r="129" spans="1:8" s="1146" customFormat="1" ht="13.5" customHeight="1" x14ac:dyDescent="0.3">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3">
      <c r="A130" s="1160" t="s">
        <v>1019</v>
      </c>
      <c r="B130" s="1157">
        <v>40</v>
      </c>
      <c r="C130" s="1161">
        <v>1.47</v>
      </c>
      <c r="D130" s="1162">
        <v>2.9000000000000001E-2</v>
      </c>
      <c r="E130" s="1157">
        <v>2</v>
      </c>
      <c r="F130" s="1157">
        <v>5</v>
      </c>
      <c r="G130" s="1157">
        <v>0.04</v>
      </c>
      <c r="H130" s="1157">
        <v>0.04</v>
      </c>
    </row>
    <row r="131" spans="1:8" s="1146" customFormat="1" ht="29.25" customHeight="1" x14ac:dyDescent="0.3">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3">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3">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3">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3">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3">
      <c r="A136" s="1157" t="s">
        <v>1044</v>
      </c>
      <c r="B136" s="1157">
        <v>300</v>
      </c>
      <c r="C136" s="1161">
        <v>1.05</v>
      </c>
      <c r="D136" s="1162">
        <v>7.5999999999999998E-2</v>
      </c>
      <c r="E136" s="1157">
        <v>3</v>
      </c>
      <c r="F136" s="1157">
        <v>12</v>
      </c>
      <c r="G136" s="1157">
        <v>0.08</v>
      </c>
      <c r="H136" s="1157">
        <v>0.12</v>
      </c>
    </row>
    <row r="137" spans="1:8" s="1146" customFormat="1" ht="13.5" customHeight="1" x14ac:dyDescent="0.3">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3">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3">
      <c r="A139" s="1860" t="s">
        <v>1046</v>
      </c>
      <c r="B139" s="1157" t="s">
        <v>1047</v>
      </c>
      <c r="C139" s="1161">
        <v>1.806</v>
      </c>
      <c r="D139" s="1162">
        <v>3.9E-2</v>
      </c>
      <c r="E139" s="1157">
        <v>0</v>
      </c>
      <c r="F139" s="1157">
        <v>0</v>
      </c>
      <c r="G139" s="1157">
        <v>3.9E-2</v>
      </c>
      <c r="H139" s="1157" t="s">
        <v>1052</v>
      </c>
    </row>
    <row r="140" spans="1:8" s="1146" customFormat="1" ht="13.5" customHeight="1" x14ac:dyDescent="0.3">
      <c r="A140" s="1860"/>
      <c r="B140" s="1157" t="s">
        <v>1048</v>
      </c>
      <c r="C140" s="1161" t="s">
        <v>1049</v>
      </c>
      <c r="D140" s="1162" t="s">
        <v>1050</v>
      </c>
      <c r="E140" s="1157" t="s">
        <v>1051</v>
      </c>
      <c r="F140" s="1157" t="s">
        <v>1051</v>
      </c>
      <c r="G140" s="1157" t="s">
        <v>1050</v>
      </c>
      <c r="H140" s="1157">
        <v>4.1000000000000002E-2</v>
      </c>
    </row>
    <row r="141" spans="1:8" s="1146" customFormat="1" ht="13.5" customHeight="1" x14ac:dyDescent="0.3">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3">
      <c r="A142" s="1157" t="s">
        <v>1054</v>
      </c>
      <c r="B142" s="1157">
        <v>45</v>
      </c>
      <c r="C142" s="1161">
        <v>1.53</v>
      </c>
      <c r="D142" s="1162">
        <v>0.03</v>
      </c>
      <c r="E142" s="1157">
        <v>2</v>
      </c>
      <c r="F142" s="1157">
        <v>3</v>
      </c>
      <c r="G142" s="1157">
        <v>3.1E-2</v>
      </c>
      <c r="H142" s="1157">
        <v>3.2000000000000001E-2</v>
      </c>
    </row>
    <row r="143" spans="1:8" s="1146" customFormat="1" ht="13.5" customHeight="1" x14ac:dyDescent="0.3">
      <c r="A143" s="1861" t="s">
        <v>1055</v>
      </c>
      <c r="B143" s="1861"/>
      <c r="C143" s="1861"/>
      <c r="D143" s="1861"/>
      <c r="E143" s="1861"/>
      <c r="F143" s="1861"/>
      <c r="G143" s="1861"/>
      <c r="H143" s="1861"/>
    </row>
    <row r="144" spans="1:8" s="1146" customFormat="1" ht="13.5" customHeight="1" x14ac:dyDescent="0.3">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3">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3">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3">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3">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3">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3">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3">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3">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3">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3">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3">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3">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3">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3">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3">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3">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3">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3">
      <c r="A162" s="1163"/>
      <c r="B162" s="1163"/>
      <c r="C162" s="1163"/>
      <c r="D162" s="1163"/>
      <c r="E162" s="1163"/>
      <c r="F162" s="1163"/>
      <c r="G162" s="1163"/>
      <c r="H162" s="1163"/>
    </row>
    <row r="163" spans="1:8" s="1146" customFormat="1" ht="13.5" customHeight="1" x14ac:dyDescent="0.3">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3">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3">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3">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3">
      <c r="A167" s="1157" t="s">
        <v>1067</v>
      </c>
      <c r="B167" s="1157">
        <v>45</v>
      </c>
      <c r="C167" s="1161">
        <v>0.84</v>
      </c>
      <c r="D167" s="1162">
        <v>4.7E-2</v>
      </c>
      <c r="E167" s="1157">
        <v>2</v>
      </c>
      <c r="F167" s="1157">
        <v>5</v>
      </c>
      <c r="G167" s="1157">
        <v>0.06</v>
      </c>
      <c r="H167" s="1157">
        <v>6.4000000000000001E-2</v>
      </c>
    </row>
    <row r="168" spans="1:8" s="1146" customFormat="1" ht="13.5" customHeight="1" x14ac:dyDescent="0.3">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3">
      <c r="A169" s="1157" t="s">
        <v>1069</v>
      </c>
      <c r="B169" s="1157">
        <v>25</v>
      </c>
      <c r="C169" s="1161">
        <v>0.84</v>
      </c>
      <c r="D169" s="1162">
        <v>0.04</v>
      </c>
      <c r="E169" s="1157">
        <v>2</v>
      </c>
      <c r="F169" s="1157">
        <v>5</v>
      </c>
      <c r="G169" s="1157">
        <v>4.2999999999999997E-2</v>
      </c>
      <c r="H169" s="1157">
        <v>0.05</v>
      </c>
    </row>
    <row r="170" spans="1:8" s="1146" customFormat="1" ht="13.5" customHeight="1" x14ac:dyDescent="0.3">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3">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3">
      <c r="A172" s="1161" t="s">
        <v>1019</v>
      </c>
      <c r="B172" s="1157">
        <v>11</v>
      </c>
      <c r="C172" s="1161">
        <v>0.84</v>
      </c>
      <c r="D172" s="1162">
        <v>4.8000000000000001E-2</v>
      </c>
      <c r="E172" s="1157">
        <v>2</v>
      </c>
      <c r="F172" s="1157">
        <v>5</v>
      </c>
      <c r="G172" s="1157">
        <v>0.05</v>
      </c>
      <c r="H172" s="1157">
        <v>5.5E-2</v>
      </c>
    </row>
    <row r="173" spans="1:8" s="1146" customFormat="1" ht="13.5" customHeight="1" x14ac:dyDescent="0.3">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3">
      <c r="A174" s="1157" t="s">
        <v>1022</v>
      </c>
      <c r="B174" s="1157">
        <v>75</v>
      </c>
      <c r="C174" s="1161">
        <v>0.84</v>
      </c>
      <c r="D174" s="1162">
        <v>0.04</v>
      </c>
      <c r="E174" s="1157">
        <v>2</v>
      </c>
      <c r="F174" s="1157">
        <v>5</v>
      </c>
      <c r="G174" s="1157">
        <v>4.2000000000000003E-2</v>
      </c>
      <c r="H174" s="1157">
        <v>4.7E-2</v>
      </c>
    </row>
    <row r="175" spans="1:8" s="1146" customFormat="1" ht="13.5" customHeight="1" x14ac:dyDescent="0.3">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3">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3">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3">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3">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3">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3">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3">
      <c r="A182" s="1157" t="s">
        <v>1071</v>
      </c>
      <c r="B182" s="1157">
        <v>400</v>
      </c>
      <c r="C182" s="1161">
        <v>0.84</v>
      </c>
      <c r="D182" s="1162">
        <v>0.11</v>
      </c>
      <c r="E182" s="1157">
        <v>1</v>
      </c>
      <c r="F182" s="1157">
        <v>2</v>
      </c>
      <c r="G182" s="1157">
        <v>0.12</v>
      </c>
      <c r="H182" s="1157">
        <v>0.14000000000000001</v>
      </c>
    </row>
    <row r="183" spans="1:8" s="1146" customFormat="1" ht="13.5" customHeight="1" x14ac:dyDescent="0.3">
      <c r="A183" s="1157" t="s">
        <v>1022</v>
      </c>
      <c r="B183" s="1157">
        <v>300</v>
      </c>
      <c r="C183" s="1161">
        <v>0.84</v>
      </c>
      <c r="D183" s="1162">
        <v>0.09</v>
      </c>
      <c r="E183" s="1157">
        <v>1</v>
      </c>
      <c r="F183" s="1157">
        <v>2</v>
      </c>
      <c r="G183" s="1157">
        <v>0.11</v>
      </c>
      <c r="H183" s="1157">
        <v>0.12</v>
      </c>
    </row>
    <row r="184" spans="1:8" s="1146" customFormat="1" ht="13.5" customHeight="1" x14ac:dyDescent="0.3">
      <c r="A184" s="1161" t="s">
        <v>1019</v>
      </c>
      <c r="B184" s="1157">
        <v>200</v>
      </c>
      <c r="C184" s="1161">
        <v>0.84</v>
      </c>
      <c r="D184" s="1162">
        <v>7.0000000000000007E-2</v>
      </c>
      <c r="E184" s="1157">
        <v>1</v>
      </c>
      <c r="F184" s="1157">
        <v>2</v>
      </c>
      <c r="G184" s="1157">
        <v>0.08</v>
      </c>
      <c r="H184" s="1157">
        <v>0.09</v>
      </c>
    </row>
    <row r="185" spans="1:8" s="1146" customFormat="1" ht="13.5" customHeight="1" x14ac:dyDescent="0.3">
      <c r="A185" s="1861" t="s">
        <v>1072</v>
      </c>
      <c r="B185" s="1861"/>
      <c r="C185" s="1861"/>
      <c r="D185" s="1861"/>
      <c r="E185" s="1861"/>
      <c r="F185" s="1861"/>
      <c r="G185" s="1861"/>
      <c r="H185" s="1861"/>
    </row>
    <row r="186" spans="1:8" s="1146" customFormat="1" ht="13.5" customHeight="1" x14ac:dyDescent="0.3">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3">
      <c r="A187" s="1157" t="s">
        <v>1022</v>
      </c>
      <c r="B187" s="1157">
        <v>800</v>
      </c>
      <c r="C187" s="1161">
        <v>2.2999999999999998</v>
      </c>
      <c r="D187" s="1162">
        <v>0.13</v>
      </c>
      <c r="E187" s="1157">
        <v>10</v>
      </c>
      <c r="F187" s="1157">
        <v>12</v>
      </c>
      <c r="G187" s="1157">
        <v>0.19</v>
      </c>
      <c r="H187" s="1157">
        <v>0.23</v>
      </c>
    </row>
    <row r="188" spans="1:8" s="1146" customFormat="1" ht="13.5" customHeight="1" x14ac:dyDescent="0.3">
      <c r="A188" s="1161" t="s">
        <v>1019</v>
      </c>
      <c r="B188" s="1157">
        <v>600</v>
      </c>
      <c r="C188" s="1161">
        <v>2.2999999999999998</v>
      </c>
      <c r="D188" s="1162">
        <v>0.11</v>
      </c>
      <c r="E188" s="1157">
        <v>10</v>
      </c>
      <c r="F188" s="1157">
        <v>12</v>
      </c>
      <c r="G188" s="1157">
        <v>0.13</v>
      </c>
      <c r="H188" s="1157">
        <v>0.16</v>
      </c>
    </row>
    <row r="189" spans="1:8" s="1146" customFormat="1" ht="13.5" customHeight="1" x14ac:dyDescent="0.3">
      <c r="A189" s="1161" t="s">
        <v>1019</v>
      </c>
      <c r="B189" s="1157">
        <v>400</v>
      </c>
      <c r="C189" s="1161">
        <v>2.2999999999999998</v>
      </c>
      <c r="D189" s="1162">
        <v>0.08</v>
      </c>
      <c r="E189" s="1157">
        <v>10</v>
      </c>
      <c r="F189" s="1157">
        <v>12</v>
      </c>
      <c r="G189" s="1157">
        <v>0.11</v>
      </c>
      <c r="H189" s="1157">
        <v>0.13</v>
      </c>
    </row>
    <row r="190" spans="1:8" s="1146" customFormat="1" ht="13.5" customHeight="1" x14ac:dyDescent="0.3">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3">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3">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3">
      <c r="A193" s="1161" t="s">
        <v>1019</v>
      </c>
      <c r="B193" s="1157">
        <v>400</v>
      </c>
      <c r="C193" s="1161">
        <v>2.2999999999999998</v>
      </c>
      <c r="D193" s="1162">
        <v>0.08</v>
      </c>
      <c r="E193" s="1157">
        <v>10</v>
      </c>
      <c r="F193" s="1157">
        <v>15</v>
      </c>
      <c r="G193" s="1157">
        <v>0.13</v>
      </c>
      <c r="H193" s="1157">
        <v>0.16</v>
      </c>
    </row>
    <row r="194" spans="1:8" s="1146" customFormat="1" ht="13.5" customHeight="1" x14ac:dyDescent="0.3">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3">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3">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3">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3">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3">
      <c r="A199" s="1157" t="s">
        <v>1079</v>
      </c>
      <c r="B199" s="1157">
        <v>1350</v>
      </c>
      <c r="C199" s="1161">
        <v>0.84</v>
      </c>
      <c r="D199" s="1162">
        <v>0.35</v>
      </c>
      <c r="E199" s="1157">
        <v>4</v>
      </c>
      <c r="F199" s="1157">
        <v>6</v>
      </c>
      <c r="G199" s="1157">
        <v>0.5</v>
      </c>
      <c r="H199" s="1157">
        <v>0.56000000000000005</v>
      </c>
    </row>
    <row r="200" spans="1:8" s="1146" customFormat="1" ht="13.5" customHeight="1" x14ac:dyDescent="0.3">
      <c r="A200" s="1157" t="s">
        <v>1022</v>
      </c>
      <c r="B200" s="1157">
        <v>1100</v>
      </c>
      <c r="C200" s="1161">
        <v>0.84</v>
      </c>
      <c r="D200" s="1162">
        <v>0.23</v>
      </c>
      <c r="E200" s="1157">
        <v>4</v>
      </c>
      <c r="F200" s="1157">
        <v>6</v>
      </c>
      <c r="G200" s="1157">
        <v>0.35</v>
      </c>
      <c r="H200" s="1157">
        <v>0.41</v>
      </c>
    </row>
    <row r="201" spans="1:8" s="1146" customFormat="1" ht="13.5" customHeight="1" x14ac:dyDescent="0.3">
      <c r="A201" s="1157" t="s">
        <v>1080</v>
      </c>
      <c r="B201" s="1157">
        <v>1050</v>
      </c>
      <c r="C201" s="1161">
        <v>0.84</v>
      </c>
      <c r="D201" s="1162">
        <v>0.15</v>
      </c>
      <c r="E201" s="1157">
        <v>4</v>
      </c>
      <c r="F201" s="1157">
        <v>6</v>
      </c>
      <c r="G201" s="1157">
        <v>0.34</v>
      </c>
      <c r="H201" s="1157">
        <v>0.36</v>
      </c>
    </row>
    <row r="202" spans="1:8" s="1146" customFormat="1" ht="13.5" customHeight="1" x14ac:dyDescent="0.3">
      <c r="A202" s="1157" t="s">
        <v>1022</v>
      </c>
      <c r="B202" s="1157">
        <v>800</v>
      </c>
      <c r="C202" s="1161">
        <v>0.84</v>
      </c>
      <c r="D202" s="1162">
        <v>0.15</v>
      </c>
      <c r="E202" s="1157">
        <v>4</v>
      </c>
      <c r="F202" s="1157">
        <v>6</v>
      </c>
      <c r="G202" s="1157">
        <v>0.19</v>
      </c>
      <c r="H202" s="1157">
        <v>0.21</v>
      </c>
    </row>
    <row r="203" spans="1:8" s="1146" customFormat="1" ht="13.5" customHeight="1" x14ac:dyDescent="0.3">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3">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3">
      <c r="A205" s="1163"/>
      <c r="B205" s="1163"/>
      <c r="C205" s="1163"/>
      <c r="D205" s="1163"/>
      <c r="E205" s="1163"/>
      <c r="F205" s="1163"/>
      <c r="G205" s="1163"/>
      <c r="H205" s="1163"/>
    </row>
    <row r="206" spans="1:8" s="1146" customFormat="1" ht="13.5" customHeight="1" x14ac:dyDescent="0.3">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3">
      <c r="A207" s="1161" t="s">
        <v>1019</v>
      </c>
      <c r="B207" s="1157">
        <v>200</v>
      </c>
      <c r="C207" s="1161">
        <v>1.68</v>
      </c>
      <c r="D207" s="1162">
        <v>7.5999999999999998E-2</v>
      </c>
      <c r="E207" s="1157">
        <v>1</v>
      </c>
      <c r="F207" s="1157">
        <v>2</v>
      </c>
      <c r="G207" s="1157">
        <v>7.8E-2</v>
      </c>
      <c r="H207" s="1157">
        <v>0.09</v>
      </c>
    </row>
    <row r="208" spans="1:8" s="1146" customFormat="1" ht="13.5" customHeight="1" x14ac:dyDescent="0.3">
      <c r="A208" s="1861" t="s">
        <v>1082</v>
      </c>
      <c r="B208" s="1861"/>
      <c r="C208" s="1861"/>
      <c r="D208" s="1861"/>
      <c r="E208" s="1861"/>
      <c r="F208" s="1861"/>
      <c r="G208" s="1861"/>
      <c r="H208" s="1861"/>
    </row>
    <row r="209" spans="1:8" s="1146" customFormat="1" ht="13.5" customHeight="1" x14ac:dyDescent="0.3">
      <c r="A209" s="1157" t="s">
        <v>1083</v>
      </c>
      <c r="B209" s="1157">
        <v>600</v>
      </c>
      <c r="C209" s="1161">
        <v>0.84</v>
      </c>
      <c r="D209" s="1162">
        <v>0.14000000000000001</v>
      </c>
      <c r="E209" s="1157">
        <v>2</v>
      </c>
      <c r="F209" s="1157">
        <v>3</v>
      </c>
      <c r="G209" s="1157">
        <v>0.17</v>
      </c>
      <c r="H209" s="1157">
        <v>0.19</v>
      </c>
    </row>
    <row r="210" spans="1:8" s="1146" customFormat="1" ht="13.5" customHeight="1" x14ac:dyDescent="0.3">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3">
      <c r="A211" s="1161" t="s">
        <v>1019</v>
      </c>
      <c r="B211" s="1157">
        <v>450</v>
      </c>
      <c r="C211" s="1161">
        <v>0.84</v>
      </c>
      <c r="D211" s="1162">
        <v>0.13</v>
      </c>
      <c r="E211" s="1157">
        <v>2</v>
      </c>
      <c r="F211" s="1157">
        <v>3</v>
      </c>
      <c r="G211" s="1157">
        <v>0.14000000000000001</v>
      </c>
      <c r="H211" s="1157">
        <v>0.155</v>
      </c>
    </row>
    <row r="212" spans="1:8" s="1146" customFormat="1" ht="13.5" customHeight="1" x14ac:dyDescent="0.3">
      <c r="A212" s="1161" t="s">
        <v>1019</v>
      </c>
      <c r="B212" s="1157">
        <v>400</v>
      </c>
      <c r="C212" s="1161">
        <v>0.84</v>
      </c>
      <c r="D212" s="1162">
        <v>0.12</v>
      </c>
      <c r="E212" s="1157">
        <v>2</v>
      </c>
      <c r="F212" s="1157">
        <v>3</v>
      </c>
      <c r="G212" s="1157">
        <v>0.13</v>
      </c>
      <c r="H212" s="1157">
        <v>0.14499999999999999</v>
      </c>
    </row>
    <row r="213" spans="1:8" s="1146" customFormat="1" ht="13.5" customHeight="1" x14ac:dyDescent="0.3">
      <c r="A213" s="1161" t="s">
        <v>1019</v>
      </c>
      <c r="B213" s="1164">
        <v>350</v>
      </c>
      <c r="C213" s="1161">
        <v>0.84</v>
      </c>
      <c r="D213" s="1162">
        <v>0.115</v>
      </c>
      <c r="E213" s="1157">
        <v>2</v>
      </c>
      <c r="F213" s="1157">
        <v>3</v>
      </c>
      <c r="G213" s="1157">
        <v>0.125</v>
      </c>
      <c r="H213" s="1157">
        <v>0.14000000000000001</v>
      </c>
    </row>
    <row r="214" spans="1:8" s="1146" customFormat="1" ht="13.5" customHeight="1" x14ac:dyDescent="0.3">
      <c r="A214" s="1161" t="s">
        <v>1019</v>
      </c>
      <c r="B214" s="1164">
        <v>300</v>
      </c>
      <c r="C214" s="1161">
        <v>0.84</v>
      </c>
      <c r="D214" s="1162">
        <v>0.108</v>
      </c>
      <c r="E214" s="1157">
        <v>2</v>
      </c>
      <c r="F214" s="1157">
        <v>3</v>
      </c>
      <c r="G214" s="1157">
        <v>0.12</v>
      </c>
      <c r="H214" s="1157">
        <v>0.13</v>
      </c>
    </row>
    <row r="215" spans="1:8" s="1146" customFormat="1" ht="13.5" customHeight="1" x14ac:dyDescent="0.3">
      <c r="A215" s="1157" t="s">
        <v>1083</v>
      </c>
      <c r="B215" s="1157">
        <v>250</v>
      </c>
      <c r="C215" s="1161">
        <v>0.84</v>
      </c>
      <c r="D215" s="1162">
        <v>9.9000000000000005E-2</v>
      </c>
      <c r="E215" s="1157">
        <v>2</v>
      </c>
      <c r="F215" s="1157">
        <v>3</v>
      </c>
      <c r="G215" s="1157">
        <v>0.11</v>
      </c>
      <c r="H215" s="1157">
        <v>0.12</v>
      </c>
    </row>
    <row r="216" spans="1:8" s="1146" customFormat="1" ht="13.5" customHeight="1" x14ac:dyDescent="0.3">
      <c r="A216" s="1157" t="s">
        <v>1084</v>
      </c>
      <c r="B216" s="1164">
        <v>700</v>
      </c>
      <c r="C216" s="1161">
        <v>0.84</v>
      </c>
      <c r="D216" s="1162">
        <v>0.16</v>
      </c>
      <c r="E216" s="1157">
        <v>2</v>
      </c>
      <c r="F216" s="1157">
        <v>4</v>
      </c>
      <c r="G216" s="1157">
        <v>0.18</v>
      </c>
      <c r="H216" s="1157">
        <v>0.21</v>
      </c>
    </row>
    <row r="217" spans="1:8" s="1146" customFormat="1" ht="13.5" customHeight="1" x14ac:dyDescent="0.3">
      <c r="A217" s="1157" t="s">
        <v>1022</v>
      </c>
      <c r="B217" s="1157">
        <v>600</v>
      </c>
      <c r="C217" s="1161">
        <v>0.84</v>
      </c>
      <c r="D217" s="1162">
        <v>0.13</v>
      </c>
      <c r="E217" s="1157">
        <v>2</v>
      </c>
      <c r="F217" s="1157">
        <v>4</v>
      </c>
      <c r="G217" s="1157">
        <v>0.16</v>
      </c>
      <c r="H217" s="1157">
        <v>0.19</v>
      </c>
    </row>
    <row r="218" spans="1:8" s="1146" customFormat="1" ht="13.5" customHeight="1" x14ac:dyDescent="0.3">
      <c r="A218" s="1161" t="s">
        <v>1019</v>
      </c>
      <c r="B218" s="1164">
        <v>500</v>
      </c>
      <c r="C218" s="1161">
        <v>0.84</v>
      </c>
      <c r="D218" s="1162">
        <v>0.12</v>
      </c>
      <c r="E218" s="1157">
        <v>2</v>
      </c>
      <c r="F218" s="1157">
        <v>4</v>
      </c>
      <c r="G218" s="1157">
        <v>0.15</v>
      </c>
      <c r="H218" s="1157">
        <v>0.17499999999999999</v>
      </c>
    </row>
    <row r="219" spans="1:8" s="1146" customFormat="1" ht="13.5" customHeight="1" x14ac:dyDescent="0.3">
      <c r="A219" s="1161" t="s">
        <v>1019</v>
      </c>
      <c r="B219" s="1157">
        <v>450</v>
      </c>
      <c r="C219" s="1161">
        <v>0.84</v>
      </c>
      <c r="D219" s="1162">
        <v>0.11</v>
      </c>
      <c r="E219" s="1157">
        <v>2</v>
      </c>
      <c r="F219" s="1157">
        <v>4</v>
      </c>
      <c r="G219" s="1157">
        <v>0.14000000000000001</v>
      </c>
      <c r="H219" s="1157">
        <v>0.16</v>
      </c>
    </row>
    <row r="220" spans="1:8" s="1146" customFormat="1" ht="13.5" customHeight="1" x14ac:dyDescent="0.3">
      <c r="A220" s="1161" t="s">
        <v>1019</v>
      </c>
      <c r="B220" s="1157">
        <v>400</v>
      </c>
      <c r="C220" s="1161">
        <v>0.84</v>
      </c>
      <c r="D220" s="1162">
        <v>0.11</v>
      </c>
      <c r="E220" s="1157">
        <v>2</v>
      </c>
      <c r="F220" s="1157">
        <v>4</v>
      </c>
      <c r="G220" s="1157">
        <v>0.13</v>
      </c>
      <c r="H220" s="1157">
        <v>0.15</v>
      </c>
    </row>
    <row r="221" spans="1:8" s="1146" customFormat="1" ht="13.5" customHeight="1" x14ac:dyDescent="0.3">
      <c r="A221" s="1157" t="s">
        <v>1085</v>
      </c>
      <c r="B221" s="1157">
        <v>1000</v>
      </c>
      <c r="C221" s="1161">
        <v>0.84</v>
      </c>
      <c r="D221" s="1162">
        <v>0.21</v>
      </c>
      <c r="E221" s="1157">
        <v>2</v>
      </c>
      <c r="F221" s="1157">
        <v>3</v>
      </c>
      <c r="G221" s="1157">
        <v>0.24</v>
      </c>
      <c r="H221" s="1157">
        <v>0.31</v>
      </c>
    </row>
    <row r="222" spans="1:8" s="1146" customFormat="1" ht="13.5" customHeight="1" x14ac:dyDescent="0.3">
      <c r="A222" s="1157" t="s">
        <v>1086</v>
      </c>
      <c r="B222" s="1164">
        <v>900</v>
      </c>
      <c r="C222" s="1161">
        <v>0.84</v>
      </c>
      <c r="D222" s="1162">
        <v>0.19</v>
      </c>
      <c r="E222" s="1157">
        <v>2</v>
      </c>
      <c r="F222" s="1157">
        <v>3</v>
      </c>
      <c r="G222" s="1157">
        <v>0.23</v>
      </c>
      <c r="H222" s="1157">
        <v>0.3</v>
      </c>
    </row>
    <row r="223" spans="1:8" s="1146" customFormat="1" ht="13.5" customHeight="1" x14ac:dyDescent="0.3">
      <c r="A223" s="1157" t="s">
        <v>1022</v>
      </c>
      <c r="B223" s="1164">
        <v>800</v>
      </c>
      <c r="C223" s="1161">
        <v>0.84</v>
      </c>
      <c r="D223" s="1162">
        <v>0.18</v>
      </c>
      <c r="E223" s="1157">
        <v>2</v>
      </c>
      <c r="F223" s="1157">
        <v>3</v>
      </c>
      <c r="G223" s="1157">
        <v>0.21</v>
      </c>
      <c r="H223" s="1157">
        <v>0.26</v>
      </c>
    </row>
    <row r="224" spans="1:8" s="1146" customFormat="1" ht="13.5" customHeight="1" x14ac:dyDescent="0.3">
      <c r="A224" s="1161" t="s">
        <v>1019</v>
      </c>
      <c r="B224" s="1157">
        <v>700</v>
      </c>
      <c r="C224" s="1161">
        <v>0.84</v>
      </c>
      <c r="D224" s="1162">
        <v>0.16</v>
      </c>
      <c r="E224" s="1157">
        <v>2</v>
      </c>
      <c r="F224" s="1157">
        <v>3</v>
      </c>
      <c r="G224" s="1157">
        <v>0.19</v>
      </c>
      <c r="H224" s="1157">
        <v>0.23</v>
      </c>
    </row>
    <row r="225" spans="1:8" s="1146" customFormat="1" ht="13.5" customHeight="1" x14ac:dyDescent="0.3">
      <c r="A225" s="1161" t="s">
        <v>1019</v>
      </c>
      <c r="B225" s="1157">
        <v>600</v>
      </c>
      <c r="C225" s="1161">
        <v>0.84</v>
      </c>
      <c r="D225" s="1162">
        <v>0.15</v>
      </c>
      <c r="E225" s="1157">
        <v>2</v>
      </c>
      <c r="F225" s="1157">
        <v>3</v>
      </c>
      <c r="G225" s="1157">
        <v>0.18</v>
      </c>
      <c r="H225" s="1157">
        <v>0.21</v>
      </c>
    </row>
    <row r="226" spans="1:8" s="1146" customFormat="1" ht="13.5" customHeight="1" x14ac:dyDescent="0.3">
      <c r="A226" s="1161" t="s">
        <v>1019</v>
      </c>
      <c r="B226" s="1164">
        <v>500</v>
      </c>
      <c r="C226" s="1161">
        <v>0.84</v>
      </c>
      <c r="D226" s="1162">
        <v>0.14000000000000001</v>
      </c>
      <c r="E226" s="1157">
        <v>2</v>
      </c>
      <c r="F226" s="1157">
        <v>3</v>
      </c>
      <c r="G226" s="1157">
        <v>0.16</v>
      </c>
      <c r="H226" s="1157">
        <v>0.19</v>
      </c>
    </row>
    <row r="227" spans="1:8" s="1146" customFormat="1" ht="13.5" customHeight="1" x14ac:dyDescent="0.3">
      <c r="A227" s="1161" t="s">
        <v>1019</v>
      </c>
      <c r="B227" s="1157">
        <v>450</v>
      </c>
      <c r="C227" s="1161">
        <v>0.84</v>
      </c>
      <c r="D227" s="1162">
        <v>0.13</v>
      </c>
      <c r="E227" s="1157">
        <v>2</v>
      </c>
      <c r="F227" s="1157">
        <v>3</v>
      </c>
      <c r="G227" s="1157">
        <v>0.15</v>
      </c>
      <c r="H227" s="1157">
        <v>0.17</v>
      </c>
    </row>
    <row r="228" spans="1:8" s="1146" customFormat="1" ht="13.5" customHeight="1" x14ac:dyDescent="0.3">
      <c r="A228" s="1161" t="s">
        <v>1019</v>
      </c>
      <c r="B228" s="1157">
        <v>400</v>
      </c>
      <c r="C228" s="1161">
        <v>0.84</v>
      </c>
      <c r="D228" s="1162">
        <v>0.122</v>
      </c>
      <c r="E228" s="1157">
        <v>2</v>
      </c>
      <c r="F228" s="1157">
        <v>3</v>
      </c>
      <c r="G228" s="1157">
        <v>0.14000000000000001</v>
      </c>
      <c r="H228" s="1157">
        <v>0.16</v>
      </c>
    </row>
    <row r="229" spans="1:8" s="1146" customFormat="1" ht="13.5" customHeight="1" x14ac:dyDescent="0.3">
      <c r="A229" s="1157" t="s">
        <v>1087</v>
      </c>
      <c r="B229" s="1164">
        <v>500</v>
      </c>
      <c r="C229" s="1161">
        <v>0.84</v>
      </c>
      <c r="D229" s="1162">
        <v>0.09</v>
      </c>
      <c r="E229" s="1157">
        <v>1</v>
      </c>
      <c r="F229" s="1157">
        <v>2</v>
      </c>
      <c r="G229" s="1157">
        <v>0.1</v>
      </c>
      <c r="H229" s="1157">
        <v>0.11</v>
      </c>
    </row>
    <row r="230" spans="1:8" s="1146" customFormat="1" ht="13.5" customHeight="1" x14ac:dyDescent="0.3">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3">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3">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3">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3">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3">
      <c r="A235" s="1161" t="s">
        <v>1019</v>
      </c>
      <c r="B235" s="1164">
        <v>100</v>
      </c>
      <c r="C235" s="1161">
        <v>0.84</v>
      </c>
      <c r="D235" s="1162">
        <v>5.5E-2</v>
      </c>
      <c r="E235" s="1157">
        <v>1</v>
      </c>
      <c r="F235" s="1157">
        <v>3</v>
      </c>
      <c r="G235" s="1157">
        <v>6.7000000000000004E-2</v>
      </c>
      <c r="H235" s="1157">
        <v>0.08</v>
      </c>
    </row>
    <row r="236" spans="1:8" s="1146" customFormat="1" ht="13.5" customHeight="1" x14ac:dyDescent="0.3">
      <c r="A236" s="1157" t="s">
        <v>1089</v>
      </c>
      <c r="B236" s="1157">
        <v>1600</v>
      </c>
      <c r="C236" s="1161">
        <v>0.84</v>
      </c>
      <c r="D236" s="1162">
        <v>0.35</v>
      </c>
      <c r="E236" s="1157">
        <v>1</v>
      </c>
      <c r="F236" s="1157">
        <v>2</v>
      </c>
      <c r="G236" s="1157">
        <v>0.47</v>
      </c>
      <c r="H236" s="1157">
        <v>0.57999999999999996</v>
      </c>
    </row>
    <row r="237" spans="1:8" s="1146" customFormat="1" ht="13.5" customHeight="1" x14ac:dyDescent="0.3">
      <c r="A237" s="1861" t="s">
        <v>1090</v>
      </c>
      <c r="B237" s="1861"/>
      <c r="C237" s="1861"/>
      <c r="D237" s="1861"/>
      <c r="E237" s="1861"/>
      <c r="F237" s="1861"/>
      <c r="G237" s="1861"/>
      <c r="H237" s="1861"/>
    </row>
    <row r="238" spans="1:8" s="1146" customFormat="1" ht="13.5" customHeight="1" x14ac:dyDescent="0.3">
      <c r="A238" s="1157" t="s">
        <v>1091</v>
      </c>
      <c r="B238" s="1157">
        <v>1400</v>
      </c>
      <c r="C238" s="1161">
        <v>0.84</v>
      </c>
      <c r="D238" s="1162">
        <v>0.41</v>
      </c>
      <c r="E238" s="1157">
        <v>2</v>
      </c>
      <c r="F238" s="1157">
        <v>4</v>
      </c>
      <c r="G238" s="1157">
        <v>0.52</v>
      </c>
      <c r="H238" s="1157">
        <v>0.64</v>
      </c>
    </row>
    <row r="239" spans="1:8" s="1146" customFormat="1" ht="13.5" customHeight="1" x14ac:dyDescent="0.3">
      <c r="A239" s="1157" t="s">
        <v>1022</v>
      </c>
      <c r="B239" s="1157">
        <v>1200</v>
      </c>
      <c r="C239" s="1161">
        <v>0.84</v>
      </c>
      <c r="D239" s="1162">
        <v>0.35</v>
      </c>
      <c r="E239" s="1157">
        <v>2</v>
      </c>
      <c r="F239" s="1157">
        <v>4</v>
      </c>
      <c r="G239" s="1157">
        <v>0.47</v>
      </c>
      <c r="H239" s="1157">
        <v>0.57999999999999996</v>
      </c>
    </row>
    <row r="240" spans="1:8" s="1146" customFormat="1" ht="13.5" customHeight="1" x14ac:dyDescent="0.3">
      <c r="A240" s="1157" t="s">
        <v>1092</v>
      </c>
      <c r="B240" s="1157">
        <v>1000</v>
      </c>
      <c r="C240" s="1161">
        <v>0.84</v>
      </c>
      <c r="D240" s="1162">
        <v>0.21</v>
      </c>
      <c r="E240" s="1157">
        <v>7</v>
      </c>
      <c r="F240" s="1157">
        <v>12</v>
      </c>
      <c r="G240" s="1157">
        <v>0.26</v>
      </c>
      <c r="H240" s="1157">
        <v>0.3</v>
      </c>
    </row>
    <row r="241" spans="1:8" s="1146" customFormat="1" ht="13.5" customHeight="1" x14ac:dyDescent="0.3">
      <c r="A241" s="1157" t="s">
        <v>1022</v>
      </c>
      <c r="B241" s="1164">
        <v>800</v>
      </c>
      <c r="C241" s="1161">
        <v>0.84</v>
      </c>
      <c r="D241" s="1162">
        <v>0.16</v>
      </c>
      <c r="E241" s="1157">
        <v>7</v>
      </c>
      <c r="F241" s="1157">
        <v>12</v>
      </c>
      <c r="G241" s="1157">
        <v>0.21</v>
      </c>
      <c r="H241" s="1157">
        <v>0.26</v>
      </c>
    </row>
    <row r="242" spans="1:8" s="1146" customFormat="1" ht="13.5" customHeight="1" x14ac:dyDescent="0.3">
      <c r="A242" s="1157" t="s">
        <v>1093</v>
      </c>
      <c r="B242" s="1157">
        <v>600</v>
      </c>
      <c r="C242" s="1161">
        <v>0.84</v>
      </c>
      <c r="D242" s="1162">
        <v>0.14000000000000001</v>
      </c>
      <c r="E242" s="1157">
        <v>10</v>
      </c>
      <c r="F242" s="1157">
        <v>15</v>
      </c>
      <c r="G242" s="1157">
        <v>0.19</v>
      </c>
      <c r="H242" s="1157">
        <v>0.23</v>
      </c>
    </row>
    <row r="243" spans="1:8" s="1146" customFormat="1" ht="13.5" customHeight="1" x14ac:dyDescent="0.3">
      <c r="A243" s="1157" t="s">
        <v>1094</v>
      </c>
      <c r="B243" s="1164">
        <v>500</v>
      </c>
      <c r="C243" s="1161">
        <v>0.84</v>
      </c>
      <c r="D243" s="1162">
        <v>0.12</v>
      </c>
      <c r="E243" s="1157">
        <v>6</v>
      </c>
      <c r="F243" s="1157">
        <v>10</v>
      </c>
      <c r="G243" s="1157">
        <v>0.15</v>
      </c>
      <c r="H243" s="1157">
        <v>0.19</v>
      </c>
    </row>
    <row r="244" spans="1:8" s="1146" customFormat="1" ht="13.5" customHeight="1" x14ac:dyDescent="0.3">
      <c r="A244" s="1157" t="s">
        <v>1022</v>
      </c>
      <c r="B244" s="1157">
        <v>400</v>
      </c>
      <c r="C244" s="1161">
        <v>0.84</v>
      </c>
      <c r="D244" s="1162">
        <v>0.09</v>
      </c>
      <c r="E244" s="1157">
        <v>6</v>
      </c>
      <c r="F244" s="1157">
        <v>10</v>
      </c>
      <c r="G244" s="1157">
        <v>0.13</v>
      </c>
      <c r="H244" s="1157">
        <v>0.15</v>
      </c>
    </row>
    <row r="245" spans="1:8" s="1146" customFormat="1" ht="13.5" customHeight="1" x14ac:dyDescent="0.3">
      <c r="A245" s="1862" t="s">
        <v>1095</v>
      </c>
      <c r="B245" s="1862"/>
      <c r="C245" s="1862"/>
      <c r="D245" s="1862"/>
      <c r="E245" s="1862"/>
      <c r="F245" s="1862"/>
      <c r="G245" s="1862"/>
      <c r="H245" s="1862"/>
    </row>
    <row r="246" spans="1:8" s="1146" customFormat="1" ht="13.5" customHeight="1" x14ac:dyDescent="0.3">
      <c r="A246" s="1865" t="s">
        <v>1096</v>
      </c>
      <c r="B246" s="1865"/>
      <c r="C246" s="1865"/>
      <c r="D246" s="1865"/>
      <c r="E246" s="1865"/>
      <c r="F246" s="1865"/>
      <c r="G246" s="1865"/>
      <c r="H246" s="1865"/>
    </row>
    <row r="247" spans="1:8" s="1146" customFormat="1" ht="13.5" customHeight="1" x14ac:dyDescent="0.3">
      <c r="A247" s="1157" t="s">
        <v>1097</v>
      </c>
      <c r="B247" s="1157">
        <v>1800</v>
      </c>
      <c r="C247" s="1161">
        <v>0.84</v>
      </c>
      <c r="D247" s="1162">
        <v>0.64</v>
      </c>
      <c r="E247" s="1157">
        <v>7</v>
      </c>
      <c r="F247" s="1157">
        <v>10</v>
      </c>
      <c r="G247" s="1157">
        <v>0.87</v>
      </c>
      <c r="H247" s="1157">
        <v>0.99</v>
      </c>
    </row>
    <row r="248" spans="1:8" s="1146" customFormat="1" ht="13.5" customHeight="1" x14ac:dyDescent="0.3">
      <c r="A248" s="1165" t="s">
        <v>1019</v>
      </c>
      <c r="B248" s="1157">
        <v>1600</v>
      </c>
      <c r="C248" s="1161">
        <v>0.84</v>
      </c>
      <c r="D248" s="1162">
        <v>0.52</v>
      </c>
      <c r="E248" s="1157">
        <v>7</v>
      </c>
      <c r="F248" s="1157">
        <v>10</v>
      </c>
      <c r="G248" s="1157">
        <v>0.7</v>
      </c>
      <c r="H248" s="1157">
        <v>0.81</v>
      </c>
    </row>
    <row r="249" spans="1:8" s="1146" customFormat="1" ht="13.5" customHeight="1" x14ac:dyDescent="0.3">
      <c r="A249" s="1165" t="s">
        <v>1019</v>
      </c>
      <c r="B249" s="1157">
        <v>1400</v>
      </c>
      <c r="C249" s="1161">
        <v>0.84</v>
      </c>
      <c r="D249" s="1162">
        <v>0.41</v>
      </c>
      <c r="E249" s="1157">
        <v>7</v>
      </c>
      <c r="F249" s="1157">
        <v>10</v>
      </c>
      <c r="G249" s="1157">
        <v>0.52</v>
      </c>
      <c r="H249" s="1157">
        <v>0.57999999999999996</v>
      </c>
    </row>
    <row r="250" spans="1:8" s="1146" customFormat="1" ht="13.5" customHeight="1" x14ac:dyDescent="0.3">
      <c r="A250" s="1165" t="s">
        <v>1019</v>
      </c>
      <c r="B250" s="1157">
        <v>1200</v>
      </c>
      <c r="C250" s="1161">
        <v>0.84</v>
      </c>
      <c r="D250" s="1162">
        <v>0.28999999999999998</v>
      </c>
      <c r="E250" s="1157">
        <v>7</v>
      </c>
      <c r="F250" s="1157">
        <v>10</v>
      </c>
      <c r="G250" s="1157">
        <v>0.41</v>
      </c>
      <c r="H250" s="1157">
        <v>0.47</v>
      </c>
    </row>
    <row r="251" spans="1:8" s="1146" customFormat="1" ht="13.5" customHeight="1" x14ac:dyDescent="0.3">
      <c r="A251" s="1157" t="s">
        <v>1098</v>
      </c>
      <c r="B251" s="1157">
        <v>1600</v>
      </c>
      <c r="C251" s="1161">
        <v>0.84</v>
      </c>
      <c r="D251" s="1162">
        <v>0.52</v>
      </c>
      <c r="E251" s="1157">
        <v>4</v>
      </c>
      <c r="F251" s="1157">
        <v>6</v>
      </c>
      <c r="G251" s="1157">
        <v>0.62</v>
      </c>
      <c r="H251" s="1157">
        <v>0.68</v>
      </c>
    </row>
    <row r="252" spans="1:8" s="1146" customFormat="1" ht="13.5" customHeight="1" x14ac:dyDescent="0.3">
      <c r="A252" s="1165" t="s">
        <v>1019</v>
      </c>
      <c r="B252" s="1157">
        <v>1400</v>
      </c>
      <c r="C252" s="1161">
        <v>0.84</v>
      </c>
      <c r="D252" s="1162">
        <v>0.42</v>
      </c>
      <c r="E252" s="1157">
        <v>4</v>
      </c>
      <c r="F252" s="1157">
        <v>6</v>
      </c>
      <c r="G252" s="1157">
        <v>0.49</v>
      </c>
      <c r="H252" s="1157">
        <v>0.54</v>
      </c>
    </row>
    <row r="253" spans="1:8" s="1146" customFormat="1" ht="13.5" customHeight="1" x14ac:dyDescent="0.3">
      <c r="A253" s="1165" t="s">
        <v>1019</v>
      </c>
      <c r="B253" s="1157">
        <v>1200</v>
      </c>
      <c r="C253" s="1161">
        <v>0.84</v>
      </c>
      <c r="D253" s="1162">
        <v>0.34</v>
      </c>
      <c r="E253" s="1157">
        <v>4</v>
      </c>
      <c r="F253" s="1157">
        <v>6</v>
      </c>
      <c r="G253" s="1157">
        <v>0.4</v>
      </c>
      <c r="H253" s="1157">
        <v>0.43</v>
      </c>
    </row>
    <row r="254" spans="1:8" s="1146" customFormat="1" ht="13.5" customHeight="1" x14ac:dyDescent="0.3">
      <c r="A254" s="1165" t="s">
        <v>1019</v>
      </c>
      <c r="B254" s="1157">
        <v>1000</v>
      </c>
      <c r="C254" s="1161">
        <v>0.84</v>
      </c>
      <c r="D254" s="1162">
        <v>0.26</v>
      </c>
      <c r="E254" s="1157">
        <v>4</v>
      </c>
      <c r="F254" s="1157">
        <v>6</v>
      </c>
      <c r="G254" s="1157">
        <v>0.3</v>
      </c>
      <c r="H254" s="1157">
        <v>0.34</v>
      </c>
    </row>
    <row r="255" spans="1:8" s="1146" customFormat="1" ht="13.5" customHeight="1" x14ac:dyDescent="0.3">
      <c r="A255" s="1165" t="s">
        <v>1019</v>
      </c>
      <c r="B255" s="1164">
        <v>800</v>
      </c>
      <c r="C255" s="1161">
        <v>0.84</v>
      </c>
      <c r="D255" s="1162">
        <v>0.19</v>
      </c>
      <c r="E255" s="1157">
        <v>4</v>
      </c>
      <c r="F255" s="1157">
        <v>6</v>
      </c>
      <c r="G255" s="1157">
        <v>0.22</v>
      </c>
      <c r="H255" s="1157">
        <v>0.26</v>
      </c>
    </row>
    <row r="256" spans="1:8" s="1146" customFormat="1" ht="13.5" customHeight="1" x14ac:dyDescent="0.3">
      <c r="A256" s="1157" t="s">
        <v>1099</v>
      </c>
      <c r="B256" s="1157">
        <v>1600</v>
      </c>
      <c r="C256" s="1161">
        <v>0.84</v>
      </c>
      <c r="D256" s="1162">
        <v>0.52</v>
      </c>
      <c r="E256" s="1157">
        <v>7</v>
      </c>
      <c r="F256" s="1157">
        <v>10</v>
      </c>
      <c r="G256" s="1157">
        <v>0.64</v>
      </c>
      <c r="H256" s="1157">
        <v>0.7</v>
      </c>
    </row>
    <row r="257" spans="1:8" s="1146" customFormat="1" ht="13.5" customHeight="1" x14ac:dyDescent="0.3">
      <c r="A257" s="1157" t="s">
        <v>1022</v>
      </c>
      <c r="B257" s="1157">
        <v>1400</v>
      </c>
      <c r="C257" s="1161">
        <v>0.84</v>
      </c>
      <c r="D257" s="1162">
        <v>0.41</v>
      </c>
      <c r="E257" s="1157">
        <v>7</v>
      </c>
      <c r="F257" s="1157">
        <v>10</v>
      </c>
      <c r="G257" s="1157">
        <v>0.52</v>
      </c>
      <c r="H257" s="1157">
        <v>0.57999999999999996</v>
      </c>
    </row>
    <row r="258" spans="1:8" s="1146" customFormat="1" ht="13.5" customHeight="1" x14ac:dyDescent="0.3">
      <c r="A258" s="1165" t="s">
        <v>1019</v>
      </c>
      <c r="B258" s="1157">
        <v>1200</v>
      </c>
      <c r="C258" s="1161">
        <v>0.84</v>
      </c>
      <c r="D258" s="1157">
        <v>0.33</v>
      </c>
      <c r="E258" s="1157">
        <v>7</v>
      </c>
      <c r="F258" s="1157">
        <v>10</v>
      </c>
      <c r="G258" s="1157">
        <v>0.41</v>
      </c>
      <c r="H258" s="1157">
        <v>0.47</v>
      </c>
    </row>
    <row r="259" spans="1:8" s="1146" customFormat="1" ht="13.5" customHeight="1" x14ac:dyDescent="0.3">
      <c r="A259" s="1165" t="s">
        <v>1019</v>
      </c>
      <c r="B259" s="1157">
        <v>1000</v>
      </c>
      <c r="C259" s="1161">
        <v>0.84</v>
      </c>
      <c r="D259" s="1157">
        <v>0.24</v>
      </c>
      <c r="E259" s="1157">
        <v>7</v>
      </c>
      <c r="F259" s="1157">
        <v>10</v>
      </c>
      <c r="G259" s="1157">
        <v>0.28999999999999998</v>
      </c>
      <c r="H259" s="1157">
        <v>0.35</v>
      </c>
    </row>
    <row r="260" spans="1:8" s="1146" customFormat="1" ht="13.5" customHeight="1" x14ac:dyDescent="0.3">
      <c r="A260" s="1165" t="s">
        <v>1019</v>
      </c>
      <c r="B260" s="1164">
        <v>800</v>
      </c>
      <c r="C260" s="1161">
        <v>0.84</v>
      </c>
      <c r="D260" s="1157">
        <v>0.2</v>
      </c>
      <c r="E260" s="1157">
        <v>7</v>
      </c>
      <c r="F260" s="1157">
        <v>10</v>
      </c>
      <c r="G260" s="1157">
        <v>0.23</v>
      </c>
      <c r="H260" s="1157">
        <v>0.28999999999999998</v>
      </c>
    </row>
    <row r="261" spans="1:8" s="1146" customFormat="1" ht="13.5" customHeight="1" x14ac:dyDescent="0.3">
      <c r="A261" s="1861" t="s">
        <v>1100</v>
      </c>
      <c r="B261" s="1861"/>
      <c r="C261" s="1861"/>
      <c r="D261" s="1861"/>
      <c r="E261" s="1861"/>
      <c r="F261" s="1861"/>
      <c r="G261" s="1861"/>
      <c r="H261" s="1861"/>
    </row>
    <row r="262" spans="1:8" s="1146" customFormat="1" ht="13.5" customHeight="1" x14ac:dyDescent="0.3">
      <c r="A262" s="1159" t="s">
        <v>1101</v>
      </c>
      <c r="B262" s="1157">
        <v>1800</v>
      </c>
      <c r="C262" s="1161">
        <v>0.84</v>
      </c>
      <c r="D262" s="1157">
        <v>0.66</v>
      </c>
      <c r="E262" s="1157">
        <v>5</v>
      </c>
      <c r="F262" s="1157">
        <v>10</v>
      </c>
      <c r="G262" s="1157">
        <v>0.8</v>
      </c>
      <c r="H262" s="1157">
        <v>0.92</v>
      </c>
    </row>
    <row r="263" spans="1:8" s="1146" customFormat="1" ht="13.5" customHeight="1" x14ac:dyDescent="0.3">
      <c r="A263" s="1159" t="s">
        <v>1101</v>
      </c>
      <c r="B263" s="1157">
        <v>1600</v>
      </c>
      <c r="C263" s="1161">
        <v>0.84</v>
      </c>
      <c r="D263" s="1157">
        <v>0.57999999999999996</v>
      </c>
      <c r="E263" s="1157">
        <v>5</v>
      </c>
      <c r="F263" s="1157">
        <v>10</v>
      </c>
      <c r="G263" s="1157">
        <v>0.67</v>
      </c>
      <c r="H263" s="1157">
        <v>0.79</v>
      </c>
    </row>
    <row r="264" spans="1:8" s="1146" customFormat="1" ht="13.5" customHeight="1" x14ac:dyDescent="0.3">
      <c r="A264" s="1159" t="s">
        <v>1101</v>
      </c>
      <c r="B264" s="1157">
        <v>1400</v>
      </c>
      <c r="C264" s="1161">
        <v>0.84</v>
      </c>
      <c r="D264" s="1157">
        <v>0.47</v>
      </c>
      <c r="E264" s="1157">
        <v>5</v>
      </c>
      <c r="F264" s="1157">
        <v>10</v>
      </c>
      <c r="G264" s="1157">
        <v>0.56000000000000005</v>
      </c>
      <c r="H264" s="1157">
        <v>0.65</v>
      </c>
    </row>
    <row r="265" spans="1:8" s="1146" customFormat="1" ht="13.5" customHeight="1" x14ac:dyDescent="0.3">
      <c r="A265" s="1159" t="s">
        <v>1101</v>
      </c>
      <c r="B265" s="1157">
        <v>1200</v>
      </c>
      <c r="C265" s="1161">
        <v>0.84</v>
      </c>
      <c r="D265" s="1157">
        <v>0.36</v>
      </c>
      <c r="E265" s="1157">
        <v>5</v>
      </c>
      <c r="F265" s="1157">
        <v>10</v>
      </c>
      <c r="G265" s="1157">
        <v>0.44</v>
      </c>
      <c r="H265" s="1157">
        <v>0.52</v>
      </c>
    </row>
    <row r="266" spans="1:8" s="1146" customFormat="1" ht="13.5" customHeight="1" x14ac:dyDescent="0.3">
      <c r="A266" s="1159" t="s">
        <v>1101</v>
      </c>
      <c r="B266" s="1157">
        <v>1000</v>
      </c>
      <c r="C266" s="1161">
        <v>0.84</v>
      </c>
      <c r="D266" s="1157">
        <v>0.27</v>
      </c>
      <c r="E266" s="1157">
        <v>5</v>
      </c>
      <c r="F266" s="1157">
        <v>10</v>
      </c>
      <c r="G266" s="1157">
        <v>0.33</v>
      </c>
      <c r="H266" s="1157">
        <v>0.41</v>
      </c>
    </row>
    <row r="267" spans="1:8" s="1146" customFormat="1" ht="13.5" customHeight="1" x14ac:dyDescent="0.3">
      <c r="A267" s="1159" t="s">
        <v>1101</v>
      </c>
      <c r="B267" s="1164">
        <v>800</v>
      </c>
      <c r="C267" s="1161">
        <v>0.84</v>
      </c>
      <c r="D267" s="1157">
        <v>0.21</v>
      </c>
      <c r="E267" s="1157">
        <v>5</v>
      </c>
      <c r="F267" s="1157">
        <v>10</v>
      </c>
      <c r="G267" s="1157">
        <v>0.24</v>
      </c>
      <c r="H267" s="1157">
        <v>0.31</v>
      </c>
    </row>
    <row r="268" spans="1:8" s="1146" customFormat="1" ht="13.5" customHeight="1" x14ac:dyDescent="0.3">
      <c r="A268" s="1159" t="s">
        <v>1101</v>
      </c>
      <c r="B268" s="1157">
        <v>600</v>
      </c>
      <c r="C268" s="1161">
        <v>0.84</v>
      </c>
      <c r="D268" s="1157">
        <v>0.16</v>
      </c>
      <c r="E268" s="1157">
        <v>5</v>
      </c>
      <c r="F268" s="1157">
        <v>10</v>
      </c>
      <c r="G268" s="1157">
        <v>0.2</v>
      </c>
      <c r="H268" s="1157">
        <v>0.26</v>
      </c>
    </row>
    <row r="269" spans="1:8" s="1146" customFormat="1" ht="13.5" customHeight="1" x14ac:dyDescent="0.3">
      <c r="A269" s="1159" t="s">
        <v>1101</v>
      </c>
      <c r="B269" s="1164">
        <v>500</v>
      </c>
      <c r="C269" s="1161">
        <v>0.84</v>
      </c>
      <c r="D269" s="1157">
        <v>0.14000000000000001</v>
      </c>
      <c r="E269" s="1157">
        <v>5</v>
      </c>
      <c r="F269" s="1157">
        <v>10</v>
      </c>
      <c r="G269" s="1157">
        <v>0.17</v>
      </c>
      <c r="H269" s="1157">
        <v>0.23</v>
      </c>
    </row>
    <row r="270" spans="1:8" s="1146" customFormat="1" ht="13.5" customHeight="1" x14ac:dyDescent="0.3">
      <c r="A270" s="1157" t="s">
        <v>1102</v>
      </c>
      <c r="B270" s="1157">
        <v>1200</v>
      </c>
      <c r="C270" s="1161">
        <v>0.84</v>
      </c>
      <c r="D270" s="1157">
        <v>0.41</v>
      </c>
      <c r="E270" s="1157">
        <v>4</v>
      </c>
      <c r="F270" s="1157">
        <v>8</v>
      </c>
      <c r="G270" s="1157">
        <v>0.52</v>
      </c>
      <c r="H270" s="1157">
        <v>0.57999999999999996</v>
      </c>
    </row>
    <row r="271" spans="1:8" s="1146" customFormat="1" ht="13.5" customHeight="1" x14ac:dyDescent="0.3">
      <c r="A271" s="1157" t="s">
        <v>1022</v>
      </c>
      <c r="B271" s="1157">
        <v>1000</v>
      </c>
      <c r="C271" s="1161">
        <v>0.84</v>
      </c>
      <c r="D271" s="1157">
        <v>0.33</v>
      </c>
      <c r="E271" s="1157">
        <v>4</v>
      </c>
      <c r="F271" s="1157">
        <v>8</v>
      </c>
      <c r="G271" s="1157">
        <v>0.41</v>
      </c>
      <c r="H271" s="1157">
        <v>0.47</v>
      </c>
    </row>
    <row r="272" spans="1:8" s="1146" customFormat="1" ht="13.5" customHeight="1" x14ac:dyDescent="0.3">
      <c r="A272" s="1165" t="s">
        <v>1019</v>
      </c>
      <c r="B272" s="1164">
        <v>800</v>
      </c>
      <c r="C272" s="1161">
        <v>0.84</v>
      </c>
      <c r="D272" s="1157">
        <v>0.23</v>
      </c>
      <c r="E272" s="1157">
        <v>4</v>
      </c>
      <c r="F272" s="1157">
        <v>8</v>
      </c>
      <c r="G272" s="1157">
        <v>0.28999999999999998</v>
      </c>
      <c r="H272" s="1157">
        <v>0.35</v>
      </c>
    </row>
    <row r="273" spans="1:8" s="1146" customFormat="1" ht="13.5" customHeight="1" x14ac:dyDescent="0.3">
      <c r="A273" s="1157" t="s">
        <v>1103</v>
      </c>
      <c r="B273" s="1157">
        <v>1000</v>
      </c>
      <c r="C273" s="1161">
        <v>0.84</v>
      </c>
      <c r="D273" s="1157">
        <v>0.28000000000000003</v>
      </c>
      <c r="E273" s="1157">
        <v>9</v>
      </c>
      <c r="F273" s="1157">
        <v>13</v>
      </c>
      <c r="G273" s="1157">
        <v>0.35</v>
      </c>
      <c r="H273" s="1157">
        <v>0.41</v>
      </c>
    </row>
    <row r="274" spans="1:8" s="1146" customFormat="1" ht="13.5" customHeight="1" x14ac:dyDescent="0.3">
      <c r="A274" s="1157" t="s">
        <v>1022</v>
      </c>
      <c r="B274" s="1164">
        <v>800</v>
      </c>
      <c r="C274" s="1161">
        <v>0.84</v>
      </c>
      <c r="D274" s="1157">
        <v>0.22</v>
      </c>
      <c r="E274" s="1157">
        <v>9</v>
      </c>
      <c r="F274" s="1157">
        <v>13</v>
      </c>
      <c r="G274" s="1157">
        <v>0.28999999999999998</v>
      </c>
      <c r="H274" s="1157">
        <v>0.35</v>
      </c>
    </row>
    <row r="275" spans="1:8" s="1146" customFormat="1" ht="13.5" customHeight="1" x14ac:dyDescent="0.3">
      <c r="A275" s="1157" t="s">
        <v>1104</v>
      </c>
      <c r="B275" s="1157">
        <v>1400</v>
      </c>
      <c r="C275" s="1161">
        <v>0.84</v>
      </c>
      <c r="D275" s="1157">
        <v>0.49</v>
      </c>
      <c r="E275" s="1157">
        <v>4</v>
      </c>
      <c r="F275" s="1157">
        <v>7</v>
      </c>
      <c r="G275" s="1157">
        <v>0.56000000000000005</v>
      </c>
      <c r="H275" s="1157">
        <v>0.64</v>
      </c>
    </row>
    <row r="276" spans="1:8" s="1146" customFormat="1" ht="13.5" customHeight="1" x14ac:dyDescent="0.3">
      <c r="A276" s="1165" t="s">
        <v>1019</v>
      </c>
      <c r="B276" s="1157">
        <v>1200</v>
      </c>
      <c r="C276" s="1161">
        <v>0.84</v>
      </c>
      <c r="D276" s="1157">
        <v>0.36</v>
      </c>
      <c r="E276" s="1157">
        <v>4</v>
      </c>
      <c r="F276" s="1157">
        <v>7</v>
      </c>
      <c r="G276" s="1157">
        <v>0.44</v>
      </c>
      <c r="H276" s="1157">
        <v>0.5</v>
      </c>
    </row>
    <row r="277" spans="1:8" s="1146" customFormat="1" ht="13.5" customHeight="1" x14ac:dyDescent="0.3">
      <c r="A277" s="1165" t="s">
        <v>1019</v>
      </c>
      <c r="B277" s="1157">
        <v>1000</v>
      </c>
      <c r="C277" s="1161">
        <v>0.84</v>
      </c>
      <c r="D277" s="1157">
        <v>0.27</v>
      </c>
      <c r="E277" s="1157">
        <v>4</v>
      </c>
      <c r="F277" s="1157">
        <v>7</v>
      </c>
      <c r="G277" s="1157">
        <v>0.33</v>
      </c>
      <c r="H277" s="1157">
        <v>0.38</v>
      </c>
    </row>
    <row r="278" spans="1:8" s="1146" customFormat="1" ht="13.5" customHeight="1" x14ac:dyDescent="0.3">
      <c r="A278" s="1157" t="s">
        <v>1105</v>
      </c>
      <c r="B278" s="1157">
        <v>1200</v>
      </c>
      <c r="C278" s="1161">
        <v>0.84</v>
      </c>
      <c r="D278" s="1157">
        <v>0.28999999999999998</v>
      </c>
      <c r="E278" s="1157">
        <v>10</v>
      </c>
      <c r="F278" s="1157">
        <v>15</v>
      </c>
      <c r="G278" s="1157">
        <v>0.44</v>
      </c>
      <c r="H278" s="1157">
        <v>0.5</v>
      </c>
    </row>
    <row r="279" spans="1:8" s="1146" customFormat="1" ht="13.5" customHeight="1" x14ac:dyDescent="0.3">
      <c r="A279" s="1165" t="s">
        <v>1019</v>
      </c>
      <c r="B279" s="1157">
        <v>1000</v>
      </c>
      <c r="C279" s="1161">
        <v>0.84</v>
      </c>
      <c r="D279" s="1157">
        <v>0.22</v>
      </c>
      <c r="E279" s="1157">
        <v>10</v>
      </c>
      <c r="F279" s="1157">
        <v>15</v>
      </c>
      <c r="G279" s="1157">
        <v>0.33</v>
      </c>
      <c r="H279" s="1157">
        <v>0.38</v>
      </c>
    </row>
    <row r="280" spans="1:8" s="1146" customFormat="1" ht="13.5" customHeight="1" x14ac:dyDescent="0.3">
      <c r="A280" s="1165" t="s">
        <v>1019</v>
      </c>
      <c r="B280" s="1164">
        <v>800</v>
      </c>
      <c r="C280" s="1161">
        <v>0.84</v>
      </c>
      <c r="D280" s="1157">
        <v>0.16</v>
      </c>
      <c r="E280" s="1157">
        <v>10</v>
      </c>
      <c r="F280" s="1157">
        <v>15</v>
      </c>
      <c r="G280" s="1157">
        <v>0.27</v>
      </c>
      <c r="H280" s="1157">
        <v>0.33</v>
      </c>
    </row>
    <row r="281" spans="1:8" s="1146" customFormat="1" ht="13.5" customHeight="1" x14ac:dyDescent="0.3">
      <c r="A281" s="1165" t="s">
        <v>1019</v>
      </c>
      <c r="B281" s="1157">
        <v>600</v>
      </c>
      <c r="C281" s="1161">
        <v>0.84</v>
      </c>
      <c r="D281" s="1157">
        <v>0.12</v>
      </c>
      <c r="E281" s="1157">
        <v>10</v>
      </c>
      <c r="F281" s="1157">
        <v>15</v>
      </c>
      <c r="G281" s="1157">
        <v>0.19</v>
      </c>
      <c r="H281" s="1157">
        <v>0.23</v>
      </c>
    </row>
    <row r="282" spans="1:8" s="1146" customFormat="1" ht="13.5" customHeight="1" x14ac:dyDescent="0.3">
      <c r="A282" s="1157" t="s">
        <v>1106</v>
      </c>
      <c r="B282" s="1157">
        <v>1800</v>
      </c>
      <c r="C282" s="1161">
        <v>0.84</v>
      </c>
      <c r="D282" s="1157">
        <v>0.52</v>
      </c>
      <c r="E282" s="1157">
        <v>5</v>
      </c>
      <c r="F282" s="1157">
        <v>8</v>
      </c>
      <c r="G282" s="1157">
        <v>0.63</v>
      </c>
      <c r="H282" s="1157">
        <v>0.76</v>
      </c>
    </row>
    <row r="283" spans="1:8" s="1146" customFormat="1" ht="13.5" customHeight="1" x14ac:dyDescent="0.3">
      <c r="A283" s="1157" t="s">
        <v>1022</v>
      </c>
      <c r="B283" s="1157">
        <v>1600</v>
      </c>
      <c r="C283" s="1161">
        <v>0.84</v>
      </c>
      <c r="D283" s="1157">
        <v>0.41</v>
      </c>
      <c r="E283" s="1157">
        <v>5</v>
      </c>
      <c r="F283" s="1157">
        <v>8</v>
      </c>
      <c r="G283" s="1157">
        <v>0.52</v>
      </c>
      <c r="H283" s="1157">
        <v>0.63</v>
      </c>
    </row>
    <row r="284" spans="1:8" s="1146" customFormat="1" ht="13.5" customHeight="1" x14ac:dyDescent="0.3">
      <c r="A284" s="1165" t="s">
        <v>1019</v>
      </c>
      <c r="B284" s="1157">
        <v>1400</v>
      </c>
      <c r="C284" s="1161">
        <v>0.84</v>
      </c>
      <c r="D284" s="1157">
        <v>0.35</v>
      </c>
      <c r="E284" s="1157">
        <v>5</v>
      </c>
      <c r="F284" s="1157">
        <v>8</v>
      </c>
      <c r="G284" s="1157">
        <v>0.44</v>
      </c>
      <c r="H284" s="1157">
        <v>0.52</v>
      </c>
    </row>
    <row r="285" spans="1:8" s="1146" customFormat="1" ht="13.5" customHeight="1" x14ac:dyDescent="0.3">
      <c r="A285" s="1165" t="s">
        <v>1019</v>
      </c>
      <c r="B285" s="1157">
        <v>1200</v>
      </c>
      <c r="C285" s="1161">
        <v>0.84</v>
      </c>
      <c r="D285" s="1157">
        <v>0.28999999999999998</v>
      </c>
      <c r="E285" s="1157">
        <v>5</v>
      </c>
      <c r="F285" s="1157">
        <v>8</v>
      </c>
      <c r="G285" s="1157">
        <v>0.37</v>
      </c>
      <c r="H285" s="1157">
        <v>0.44</v>
      </c>
    </row>
    <row r="286" spans="1:8" s="1146" customFormat="1" ht="13.5" customHeight="1" x14ac:dyDescent="0.3">
      <c r="A286" s="1165" t="s">
        <v>1019</v>
      </c>
      <c r="B286" s="1157">
        <v>1000</v>
      </c>
      <c r="C286" s="1161">
        <v>0.84</v>
      </c>
      <c r="D286" s="1157">
        <v>0.23</v>
      </c>
      <c r="E286" s="1157">
        <v>5</v>
      </c>
      <c r="F286" s="1157">
        <v>8</v>
      </c>
      <c r="G286" s="1157">
        <v>0.31</v>
      </c>
      <c r="H286" s="1157">
        <v>0.37</v>
      </c>
    </row>
    <row r="287" spans="1:8" s="1146" customFormat="1" ht="13.5" customHeight="1" x14ac:dyDescent="0.3">
      <c r="A287" s="1157" t="s">
        <v>1107</v>
      </c>
      <c r="B287" s="1157">
        <v>1600</v>
      </c>
      <c r="C287" s="1161">
        <v>0.84</v>
      </c>
      <c r="D287" s="1157">
        <v>0.47</v>
      </c>
      <c r="E287" s="1157">
        <v>8</v>
      </c>
      <c r="F287" s="1157">
        <v>11</v>
      </c>
      <c r="G287" s="1157">
        <v>0.63</v>
      </c>
      <c r="H287" s="1157">
        <v>0.7</v>
      </c>
    </row>
    <row r="288" spans="1:8" s="1146" customFormat="1" ht="13.5" customHeight="1" x14ac:dyDescent="0.3">
      <c r="A288" s="1157" t="s">
        <v>1022</v>
      </c>
      <c r="B288" s="1157">
        <v>1400</v>
      </c>
      <c r="C288" s="1161">
        <v>0.84</v>
      </c>
      <c r="D288" s="1157">
        <v>0.35</v>
      </c>
      <c r="E288" s="1157">
        <v>8</v>
      </c>
      <c r="F288" s="1157">
        <v>11</v>
      </c>
      <c r="G288" s="1157">
        <v>0.52</v>
      </c>
      <c r="H288" s="1157">
        <v>0.57999999999999996</v>
      </c>
    </row>
    <row r="289" spans="1:8" s="1146" customFormat="1" ht="13.5" customHeight="1" x14ac:dyDescent="0.3">
      <c r="A289" s="1165" t="s">
        <v>1019</v>
      </c>
      <c r="B289" s="1157">
        <v>1200</v>
      </c>
      <c r="C289" s="1161">
        <v>0.84</v>
      </c>
      <c r="D289" s="1157">
        <v>0.28999999999999998</v>
      </c>
      <c r="E289" s="1157">
        <v>8</v>
      </c>
      <c r="F289" s="1157">
        <v>11</v>
      </c>
      <c r="G289" s="1157">
        <v>0.41</v>
      </c>
      <c r="H289" s="1157">
        <v>0.47</v>
      </c>
    </row>
    <row r="290" spans="1:8" s="1146" customFormat="1" ht="13.5" customHeight="1" x14ac:dyDescent="0.3">
      <c r="A290" s="1165" t="s">
        <v>1019</v>
      </c>
      <c r="B290" s="1157">
        <v>1000</v>
      </c>
      <c r="C290" s="1161">
        <v>0.84</v>
      </c>
      <c r="D290" s="1157">
        <v>0.23</v>
      </c>
      <c r="E290" s="1157">
        <v>8</v>
      </c>
      <c r="F290" s="1157">
        <v>11</v>
      </c>
      <c r="G290" s="1157">
        <v>0.35</v>
      </c>
      <c r="H290" s="1157">
        <v>0.41</v>
      </c>
    </row>
    <row r="291" spans="1:8" s="1146" customFormat="1" ht="13.5" customHeight="1" x14ac:dyDescent="0.3">
      <c r="A291" s="1165" t="s">
        <v>1019</v>
      </c>
      <c r="B291" s="1164">
        <v>800</v>
      </c>
      <c r="C291" s="1161">
        <v>0.84</v>
      </c>
      <c r="D291" s="1157">
        <v>0.17</v>
      </c>
      <c r="E291" s="1157">
        <v>8</v>
      </c>
      <c r="F291" s="1157">
        <v>11</v>
      </c>
      <c r="G291" s="1157">
        <v>0.28999999999999998</v>
      </c>
      <c r="H291" s="1157">
        <v>0.35</v>
      </c>
    </row>
    <row r="292" spans="1:8" s="1146" customFormat="1" ht="13.5" customHeight="1" x14ac:dyDescent="0.3">
      <c r="A292" s="1157" t="s">
        <v>1108</v>
      </c>
      <c r="B292" s="1157">
        <v>1800</v>
      </c>
      <c r="C292" s="1161">
        <v>0.84</v>
      </c>
      <c r="D292" s="1157">
        <v>0.57999999999999996</v>
      </c>
      <c r="E292" s="1157">
        <v>5</v>
      </c>
      <c r="F292" s="1157">
        <v>8</v>
      </c>
      <c r="G292" s="1157">
        <v>0.7</v>
      </c>
      <c r="H292" s="1157">
        <v>0.81</v>
      </c>
    </row>
    <row r="293" spans="1:8" s="1146" customFormat="1" ht="13.5" customHeight="1" x14ac:dyDescent="0.3">
      <c r="A293" s="1157" t="s">
        <v>1108</v>
      </c>
      <c r="B293" s="1157">
        <v>1600</v>
      </c>
      <c r="C293" s="1161">
        <v>0.84</v>
      </c>
      <c r="D293" s="1157">
        <v>0.47</v>
      </c>
      <c r="E293" s="1157">
        <v>5</v>
      </c>
      <c r="F293" s="1157">
        <v>8</v>
      </c>
      <c r="G293" s="1157">
        <v>0.57999999999999996</v>
      </c>
      <c r="H293" s="1157">
        <v>0.64</v>
      </c>
    </row>
    <row r="294" spans="1:8" s="1146" customFormat="1" ht="13.5" customHeight="1" x14ac:dyDescent="0.3">
      <c r="A294" s="1157" t="s">
        <v>1022</v>
      </c>
      <c r="B294" s="1157">
        <v>1400</v>
      </c>
      <c r="C294" s="1161">
        <v>0.84</v>
      </c>
      <c r="D294" s="1157">
        <v>0.41</v>
      </c>
      <c r="E294" s="1157">
        <v>5</v>
      </c>
      <c r="F294" s="1157">
        <v>8</v>
      </c>
      <c r="G294" s="1157">
        <v>0.52</v>
      </c>
      <c r="H294" s="1157">
        <v>0.57999999999999996</v>
      </c>
    </row>
    <row r="295" spans="1:8" s="1146" customFormat="1" ht="13.5" customHeight="1" x14ac:dyDescent="0.3">
      <c r="A295" s="1165" t="s">
        <v>1019</v>
      </c>
      <c r="B295" s="1157">
        <v>1200</v>
      </c>
      <c r="C295" s="1161">
        <v>0.84</v>
      </c>
      <c r="D295" s="1157">
        <v>0.35</v>
      </c>
      <c r="E295" s="1157">
        <v>5</v>
      </c>
      <c r="F295" s="1157">
        <v>8</v>
      </c>
      <c r="G295" s="1157">
        <v>0.47</v>
      </c>
      <c r="H295" s="1157">
        <v>0.52</v>
      </c>
    </row>
    <row r="296" spans="1:8" s="1146" customFormat="1" ht="13.5" customHeight="1" x14ac:dyDescent="0.3">
      <c r="A296" s="1157" t="s">
        <v>1109</v>
      </c>
      <c r="B296" s="1157">
        <v>1800</v>
      </c>
      <c r="C296" s="1161">
        <v>0.84</v>
      </c>
      <c r="D296" s="1157">
        <v>0.7</v>
      </c>
      <c r="E296" s="1157">
        <v>5</v>
      </c>
      <c r="F296" s="1157">
        <v>8</v>
      </c>
      <c r="G296" s="1157">
        <v>0.85</v>
      </c>
      <c r="H296" s="1157">
        <v>0.93</v>
      </c>
    </row>
    <row r="297" spans="1:8" s="1146" customFormat="1" ht="13.5" customHeight="1" x14ac:dyDescent="0.3">
      <c r="A297" s="1157" t="s">
        <v>1022</v>
      </c>
      <c r="B297" s="1157">
        <v>1600</v>
      </c>
      <c r="C297" s="1161">
        <v>0.84</v>
      </c>
      <c r="D297" s="1157">
        <v>0.57999999999999996</v>
      </c>
      <c r="E297" s="1157">
        <v>5</v>
      </c>
      <c r="F297" s="1157">
        <v>8</v>
      </c>
      <c r="G297" s="1157">
        <v>0.72</v>
      </c>
      <c r="H297" s="1157">
        <v>0.78</v>
      </c>
    </row>
    <row r="298" spans="1:8" s="1146" customFormat="1" ht="13.5" customHeight="1" x14ac:dyDescent="0.3">
      <c r="A298" s="1165" t="s">
        <v>1019</v>
      </c>
      <c r="B298" s="1157">
        <v>1400</v>
      </c>
      <c r="C298" s="1161">
        <v>0.84</v>
      </c>
      <c r="D298" s="1157">
        <v>0.47</v>
      </c>
      <c r="E298" s="1157">
        <v>5</v>
      </c>
      <c r="F298" s="1157">
        <v>8</v>
      </c>
      <c r="G298" s="1157">
        <v>0.59</v>
      </c>
      <c r="H298" s="1157">
        <v>0.65</v>
      </c>
    </row>
    <row r="299" spans="1:8" s="1146" customFormat="1" ht="13.5" customHeight="1" x14ac:dyDescent="0.3">
      <c r="A299" s="1165" t="s">
        <v>1019</v>
      </c>
      <c r="B299" s="1157">
        <v>1200</v>
      </c>
      <c r="C299" s="1161">
        <v>0.84</v>
      </c>
      <c r="D299" s="1157">
        <v>0.35</v>
      </c>
      <c r="E299" s="1157">
        <v>5</v>
      </c>
      <c r="F299" s="1157">
        <v>8</v>
      </c>
      <c r="G299" s="1157">
        <v>0.48</v>
      </c>
      <c r="H299" s="1157">
        <v>0.54</v>
      </c>
    </row>
    <row r="300" spans="1:8" s="1146" customFormat="1" ht="13.5" customHeight="1" x14ac:dyDescent="0.3">
      <c r="A300" s="1165" t="s">
        <v>1019</v>
      </c>
      <c r="B300" s="1157">
        <v>1000</v>
      </c>
      <c r="C300" s="1161">
        <v>0.84</v>
      </c>
      <c r="D300" s="1157">
        <v>0.28999999999999998</v>
      </c>
      <c r="E300" s="1157">
        <v>5</v>
      </c>
      <c r="F300" s="1157">
        <v>8</v>
      </c>
      <c r="G300" s="1157">
        <v>0.38</v>
      </c>
      <c r="H300" s="1157">
        <v>0.44</v>
      </c>
    </row>
    <row r="301" spans="1:8" s="1146" customFormat="1" ht="13.5" customHeight="1" x14ac:dyDescent="0.3">
      <c r="A301" s="1157" t="s">
        <v>1110</v>
      </c>
      <c r="B301" s="1157">
        <v>1400</v>
      </c>
      <c r="C301" s="1161">
        <v>0.84</v>
      </c>
      <c r="D301" s="1157">
        <v>0.47</v>
      </c>
      <c r="E301" s="1157">
        <v>5</v>
      </c>
      <c r="F301" s="1157">
        <v>8</v>
      </c>
      <c r="G301" s="1157">
        <v>0.52</v>
      </c>
      <c r="H301" s="1157">
        <v>0.57999999999999996</v>
      </c>
    </row>
    <row r="302" spans="1:8" s="1146" customFormat="1" ht="13.5" customHeight="1" x14ac:dyDescent="0.3">
      <c r="A302" s="1157" t="s">
        <v>1022</v>
      </c>
      <c r="B302" s="1157">
        <v>1200</v>
      </c>
      <c r="C302" s="1161">
        <v>0.84</v>
      </c>
      <c r="D302" s="1157">
        <v>0.35</v>
      </c>
      <c r="E302" s="1157">
        <v>5</v>
      </c>
      <c r="F302" s="1157">
        <v>8</v>
      </c>
      <c r="G302" s="1157">
        <v>0.41</v>
      </c>
      <c r="H302" s="1157">
        <v>0.47</v>
      </c>
    </row>
    <row r="303" spans="1:8" s="1146" customFormat="1" ht="13.5" customHeight="1" x14ac:dyDescent="0.3">
      <c r="A303" s="1165" t="s">
        <v>1019</v>
      </c>
      <c r="B303" s="1157">
        <v>1000</v>
      </c>
      <c r="C303" s="1161">
        <v>0.84</v>
      </c>
      <c r="D303" s="1157">
        <v>0.24</v>
      </c>
      <c r="E303" s="1157">
        <v>5</v>
      </c>
      <c r="F303" s="1157">
        <v>8</v>
      </c>
      <c r="G303" s="1157">
        <v>0.3</v>
      </c>
      <c r="H303" s="1157">
        <v>0.35</v>
      </c>
    </row>
    <row r="304" spans="1:8" s="1146" customFormat="1" ht="13.5" customHeight="1" x14ac:dyDescent="0.3">
      <c r="A304" s="1157" t="s">
        <v>1111</v>
      </c>
      <c r="B304" s="1164">
        <v>800</v>
      </c>
      <c r="C304" s="1161">
        <v>0.84</v>
      </c>
      <c r="D304" s="1157">
        <v>0.21</v>
      </c>
      <c r="E304" s="1157">
        <v>8</v>
      </c>
      <c r="F304" s="1157">
        <v>13</v>
      </c>
      <c r="G304" s="1157">
        <v>0.23</v>
      </c>
      <c r="H304" s="1157">
        <v>0.26</v>
      </c>
    </row>
    <row r="305" spans="1:8" s="1146" customFormat="1" ht="13.5" customHeight="1" x14ac:dyDescent="0.3">
      <c r="A305" s="1165" t="s">
        <v>1019</v>
      </c>
      <c r="B305" s="1157">
        <v>600</v>
      </c>
      <c r="C305" s="1161">
        <v>0.84</v>
      </c>
      <c r="D305" s="1157">
        <v>0.14000000000000001</v>
      </c>
      <c r="E305" s="1157">
        <v>8</v>
      </c>
      <c r="F305" s="1157">
        <v>13</v>
      </c>
      <c r="G305" s="1157">
        <v>0.16</v>
      </c>
      <c r="H305" s="1157">
        <v>0.17</v>
      </c>
    </row>
    <row r="306" spans="1:8" s="1146" customFormat="1" ht="13.5" customHeight="1" x14ac:dyDescent="0.3">
      <c r="A306" s="1165" t="s">
        <v>1019</v>
      </c>
      <c r="B306" s="1157">
        <v>400</v>
      </c>
      <c r="C306" s="1161">
        <v>0.84</v>
      </c>
      <c r="D306" s="1157">
        <v>0.09</v>
      </c>
      <c r="E306" s="1157">
        <v>8</v>
      </c>
      <c r="F306" s="1157">
        <v>13</v>
      </c>
      <c r="G306" s="1157">
        <v>0.11</v>
      </c>
      <c r="H306" s="1157">
        <v>0.13</v>
      </c>
    </row>
    <row r="307" spans="1:8" s="1146" customFormat="1" ht="13.5" customHeight="1" x14ac:dyDescent="0.3">
      <c r="A307" s="1165" t="s">
        <v>1019</v>
      </c>
      <c r="B307" s="1164">
        <v>300</v>
      </c>
      <c r="C307" s="1161">
        <v>0.84</v>
      </c>
      <c r="D307" s="1157">
        <v>0.08</v>
      </c>
      <c r="E307" s="1157">
        <v>8</v>
      </c>
      <c r="F307" s="1157">
        <v>13</v>
      </c>
      <c r="G307" s="1157">
        <v>0.09</v>
      </c>
      <c r="H307" s="1157">
        <v>0.11</v>
      </c>
    </row>
    <row r="308" spans="1:8" s="1146" customFormat="1" ht="13.5" customHeight="1" x14ac:dyDescent="0.3">
      <c r="A308" s="1861" t="s">
        <v>1112</v>
      </c>
      <c r="B308" s="1861"/>
      <c r="C308" s="1861"/>
      <c r="D308" s="1861"/>
      <c r="E308" s="1861"/>
      <c r="F308" s="1861"/>
      <c r="G308" s="1861"/>
      <c r="H308" s="1861"/>
    </row>
    <row r="309" spans="1:8" s="1146" customFormat="1" ht="13.5" customHeight="1" x14ac:dyDescent="0.3">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3">
      <c r="A310" s="1163"/>
      <c r="B310" s="1163"/>
      <c r="C310" s="1163"/>
      <c r="D310" s="1163"/>
      <c r="E310" s="1163"/>
      <c r="F310" s="1163"/>
      <c r="G310" s="1163"/>
      <c r="H310" s="1163"/>
    </row>
    <row r="311" spans="1:8" s="1146" customFormat="1" ht="13.5" customHeight="1" x14ac:dyDescent="0.3">
      <c r="A311" s="1165" t="s">
        <v>1019</v>
      </c>
      <c r="B311" s="1164">
        <v>500</v>
      </c>
      <c r="C311" s="1161">
        <v>1.06</v>
      </c>
      <c r="D311" s="1157">
        <v>0.125</v>
      </c>
      <c r="E311" s="1157">
        <v>4</v>
      </c>
      <c r="F311" s="1157">
        <v>8</v>
      </c>
      <c r="G311" s="1157">
        <v>0.14000000000000001</v>
      </c>
      <c r="H311" s="1157">
        <v>0.16</v>
      </c>
    </row>
    <row r="312" spans="1:8" s="1146" customFormat="1" ht="13.5" customHeight="1" x14ac:dyDescent="0.3">
      <c r="A312" s="1165" t="s">
        <v>1019</v>
      </c>
      <c r="B312" s="1157">
        <v>400</v>
      </c>
      <c r="C312" s="1161">
        <v>1.06</v>
      </c>
      <c r="D312" s="1157">
        <v>0.105</v>
      </c>
      <c r="E312" s="1157">
        <v>4</v>
      </c>
      <c r="F312" s="1157">
        <v>8</v>
      </c>
      <c r="G312" s="1157">
        <v>0.12</v>
      </c>
      <c r="H312" s="1157">
        <v>0.13500000000000001</v>
      </c>
    </row>
    <row r="313" spans="1:8" s="1146" customFormat="1" ht="13.5" customHeight="1" x14ac:dyDescent="0.3">
      <c r="A313" s="1165" t="s">
        <v>1019</v>
      </c>
      <c r="B313" s="1164">
        <v>300</v>
      </c>
      <c r="C313" s="1161">
        <v>1.06</v>
      </c>
      <c r="D313" s="1157">
        <v>8.5000000000000006E-2</v>
      </c>
      <c r="E313" s="1157">
        <v>4</v>
      </c>
      <c r="F313" s="1157">
        <v>8</v>
      </c>
      <c r="G313" s="1157">
        <v>0.09</v>
      </c>
      <c r="H313" s="1157">
        <v>0.11</v>
      </c>
    </row>
    <row r="314" spans="1:8" s="1146" customFormat="1" ht="13.5" customHeight="1" x14ac:dyDescent="0.3">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3">
      <c r="A315" s="1165" t="s">
        <v>1019</v>
      </c>
      <c r="B315" s="1164">
        <v>150</v>
      </c>
      <c r="C315" s="1161">
        <v>1.06</v>
      </c>
      <c r="D315" s="1157">
        <v>5.5E-2</v>
      </c>
      <c r="E315" s="1157">
        <v>4</v>
      </c>
      <c r="F315" s="1157">
        <v>8</v>
      </c>
      <c r="G315" s="1157">
        <v>5.7000000000000002E-2</v>
      </c>
      <c r="H315" s="1157">
        <v>0.06</v>
      </c>
    </row>
    <row r="316" spans="1:8" s="1146" customFormat="1" ht="13.5" customHeight="1" x14ac:dyDescent="0.3">
      <c r="A316" s="1159" t="s">
        <v>1114</v>
      </c>
      <c r="B316" s="1157">
        <v>1000</v>
      </c>
      <c r="C316" s="1161">
        <v>0.84</v>
      </c>
      <c r="D316" s="1157">
        <v>0.28999999999999998</v>
      </c>
      <c r="E316" s="1157">
        <v>10</v>
      </c>
      <c r="F316" s="1157">
        <v>15</v>
      </c>
      <c r="G316" s="1157">
        <v>0.41</v>
      </c>
      <c r="H316" s="1157">
        <v>0.47</v>
      </c>
    </row>
    <row r="317" spans="1:8" s="1146" customFormat="1" ht="13.5" customHeight="1" x14ac:dyDescent="0.3">
      <c r="A317" s="1157" t="s">
        <v>1022</v>
      </c>
      <c r="B317" s="1164">
        <v>800</v>
      </c>
      <c r="C317" s="1161">
        <v>0.84</v>
      </c>
      <c r="D317" s="1157">
        <v>0.21</v>
      </c>
      <c r="E317" s="1157">
        <v>10</v>
      </c>
      <c r="F317" s="1157">
        <v>15</v>
      </c>
      <c r="G317" s="1157">
        <v>0.33</v>
      </c>
      <c r="H317" s="1157">
        <v>0.37</v>
      </c>
    </row>
    <row r="318" spans="1:8" s="1146" customFormat="1" ht="13.5" customHeight="1" x14ac:dyDescent="0.3">
      <c r="A318" s="1165" t="s">
        <v>1019</v>
      </c>
      <c r="B318" s="1157">
        <v>600</v>
      </c>
      <c r="C318" s="1161">
        <v>0.84</v>
      </c>
      <c r="D318" s="1157">
        <v>0.14000000000000001</v>
      </c>
      <c r="E318" s="1157">
        <v>8</v>
      </c>
      <c r="F318" s="1157">
        <v>12</v>
      </c>
      <c r="G318" s="1157">
        <v>0.22</v>
      </c>
      <c r="H318" s="1157">
        <v>0.26</v>
      </c>
    </row>
    <row r="319" spans="1:8" s="1146" customFormat="1" ht="13.5" customHeight="1" x14ac:dyDescent="0.3">
      <c r="A319" s="1165" t="s">
        <v>1019</v>
      </c>
      <c r="B319" s="1157">
        <v>400</v>
      </c>
      <c r="C319" s="1161">
        <v>0.84</v>
      </c>
      <c r="D319" s="1157">
        <v>0.11</v>
      </c>
      <c r="E319" s="1157">
        <v>8</v>
      </c>
      <c r="F319" s="1157">
        <v>12</v>
      </c>
      <c r="G319" s="1157">
        <v>0.14000000000000001</v>
      </c>
      <c r="H319" s="1157">
        <v>0.15</v>
      </c>
    </row>
    <row r="320" spans="1:8" s="1146" customFormat="1" ht="13.5" customHeight="1" x14ac:dyDescent="0.3">
      <c r="A320" s="1157" t="s">
        <v>1114</v>
      </c>
      <c r="B320" s="1164">
        <v>300</v>
      </c>
      <c r="C320" s="1161">
        <v>0.84</v>
      </c>
      <c r="D320" s="1157">
        <v>0.08</v>
      </c>
      <c r="E320" s="1157">
        <v>8</v>
      </c>
      <c r="F320" s="1157">
        <v>12</v>
      </c>
      <c r="G320" s="1157">
        <v>0.11</v>
      </c>
      <c r="H320" s="1157">
        <v>0.13</v>
      </c>
    </row>
    <row r="321" spans="1:8" s="1146" customFormat="1" ht="13.5" customHeight="1" x14ac:dyDescent="0.3">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3">
      <c r="A322" s="1157" t="s">
        <v>1022</v>
      </c>
      <c r="B322" s="1157">
        <v>1000</v>
      </c>
      <c r="C322" s="1161">
        <v>0.84</v>
      </c>
      <c r="D322" s="1157">
        <v>0.23</v>
      </c>
      <c r="E322" s="1157">
        <v>15</v>
      </c>
      <c r="F322" s="1157">
        <v>22</v>
      </c>
      <c r="G322" s="1157">
        <v>0.44</v>
      </c>
      <c r="H322" s="1157">
        <v>0.5</v>
      </c>
    </row>
    <row r="323" spans="1:8" s="1146" customFormat="1" ht="13.5" customHeight="1" x14ac:dyDescent="0.3">
      <c r="A323" s="1165" t="s">
        <v>1019</v>
      </c>
      <c r="B323" s="1164">
        <v>800</v>
      </c>
      <c r="C323" s="1161">
        <v>0.84</v>
      </c>
      <c r="D323" s="1157">
        <v>0.17</v>
      </c>
      <c r="E323" s="1157">
        <v>15</v>
      </c>
      <c r="F323" s="1157">
        <v>22</v>
      </c>
      <c r="G323" s="1157">
        <v>0.35</v>
      </c>
      <c r="H323" s="1157">
        <v>0.41</v>
      </c>
    </row>
    <row r="324" spans="1:8" s="1146" customFormat="1" ht="13.5" customHeight="1" x14ac:dyDescent="0.3">
      <c r="A324" s="1870" t="s">
        <v>1116</v>
      </c>
      <c r="B324" s="1870"/>
      <c r="C324" s="1870"/>
      <c r="D324" s="1870"/>
      <c r="E324" s="1870"/>
      <c r="F324" s="1870"/>
      <c r="G324" s="1870"/>
      <c r="H324" s="1870"/>
    </row>
    <row r="325" spans="1:8" s="1146" customFormat="1" ht="13.5" customHeight="1" x14ac:dyDescent="0.3">
      <c r="A325" s="1157" t="s">
        <v>1117</v>
      </c>
      <c r="B325" s="1157">
        <v>1800</v>
      </c>
      <c r="C325" s="1161">
        <v>0.88</v>
      </c>
      <c r="D325" s="1157">
        <v>0.56000000000000005</v>
      </c>
      <c r="E325" s="1157">
        <v>1</v>
      </c>
      <c r="F325" s="1157">
        <v>2</v>
      </c>
      <c r="G325" s="1157">
        <v>0.7</v>
      </c>
      <c r="H325" s="1157">
        <v>0.81</v>
      </c>
    </row>
    <row r="326" spans="1:8" s="1146" customFormat="1" ht="13.5" customHeight="1" x14ac:dyDescent="0.3">
      <c r="A326" s="1157" t="s">
        <v>1118</v>
      </c>
      <c r="B326" s="1157">
        <v>1700</v>
      </c>
      <c r="C326" s="1161">
        <v>0.88</v>
      </c>
      <c r="D326" s="1157">
        <v>0.52</v>
      </c>
      <c r="E326" s="1157">
        <v>1.5</v>
      </c>
      <c r="F326" s="1157">
        <v>3</v>
      </c>
      <c r="G326" s="1157">
        <v>0.64</v>
      </c>
      <c r="H326" s="1157">
        <v>0.76</v>
      </c>
    </row>
    <row r="327" spans="1:8" s="1146" customFormat="1" ht="13.5" customHeight="1" x14ac:dyDescent="0.3">
      <c r="A327" s="1157" t="s">
        <v>1119</v>
      </c>
      <c r="B327" s="1157">
        <v>1600</v>
      </c>
      <c r="C327" s="1161">
        <v>0.88</v>
      </c>
      <c r="D327" s="1157">
        <v>0.47</v>
      </c>
      <c r="E327" s="1157">
        <v>2</v>
      </c>
      <c r="F327" s="1157">
        <v>4</v>
      </c>
      <c r="G327" s="1157">
        <v>0.57999999999999996</v>
      </c>
      <c r="H327" s="1157">
        <v>0.7</v>
      </c>
    </row>
    <row r="328" spans="1:8" s="1146" customFormat="1" ht="13.5" customHeight="1" x14ac:dyDescent="0.3">
      <c r="A328" s="1157" t="s">
        <v>1120</v>
      </c>
      <c r="B328" s="1157">
        <v>1800</v>
      </c>
      <c r="C328" s="1161">
        <v>0.88</v>
      </c>
      <c r="D328" s="1157">
        <v>0.7</v>
      </c>
      <c r="E328" s="1157">
        <v>2</v>
      </c>
      <c r="F328" s="1157">
        <v>4</v>
      </c>
      <c r="G328" s="1157">
        <v>0.76</v>
      </c>
      <c r="H328" s="1157">
        <v>0.87</v>
      </c>
    </row>
    <row r="329" spans="1:8" s="1146" customFormat="1" ht="13.5" customHeight="1" x14ac:dyDescent="0.3">
      <c r="A329" s="1157" t="s">
        <v>1121</v>
      </c>
      <c r="B329" s="1157">
        <v>1200</v>
      </c>
      <c r="C329" s="1161">
        <v>0.88</v>
      </c>
      <c r="D329" s="1157">
        <v>0.35</v>
      </c>
      <c r="E329" s="1157">
        <v>2</v>
      </c>
      <c r="F329" s="1157">
        <v>4</v>
      </c>
      <c r="G329" s="1157">
        <v>0.47</v>
      </c>
      <c r="H329" s="1157">
        <v>0.52</v>
      </c>
    </row>
    <row r="330" spans="1:8" s="1146" customFormat="1" ht="13.5" customHeight="1" x14ac:dyDescent="0.3">
      <c r="A330" s="1157" t="s">
        <v>1022</v>
      </c>
      <c r="B330" s="1157">
        <v>1000</v>
      </c>
      <c r="C330" s="1161">
        <v>0.88</v>
      </c>
      <c r="D330" s="1157">
        <v>0.28999999999999998</v>
      </c>
      <c r="E330" s="1157">
        <v>2</v>
      </c>
      <c r="F330" s="1157">
        <v>4</v>
      </c>
      <c r="G330" s="1157">
        <v>0.41</v>
      </c>
      <c r="H330" s="1157">
        <v>0.47</v>
      </c>
    </row>
    <row r="331" spans="1:8" s="1146" customFormat="1" ht="13.5" customHeight="1" x14ac:dyDescent="0.3">
      <c r="A331" s="1157" t="s">
        <v>1122</v>
      </c>
      <c r="B331" s="1157">
        <v>1500</v>
      </c>
      <c r="C331" s="1161">
        <v>0.88</v>
      </c>
      <c r="D331" s="1157">
        <v>0.52</v>
      </c>
      <c r="E331" s="1157">
        <v>1.5</v>
      </c>
      <c r="F331" s="1157">
        <v>3</v>
      </c>
      <c r="G331" s="1157">
        <v>0.64</v>
      </c>
      <c r="H331" s="1157">
        <v>0.7</v>
      </c>
    </row>
    <row r="332" spans="1:8" s="1146" customFormat="1" ht="13.5" customHeight="1" x14ac:dyDescent="0.3">
      <c r="A332" s="1870" t="s">
        <v>1123</v>
      </c>
      <c r="B332" s="1870"/>
      <c r="C332" s="1870"/>
      <c r="D332" s="1870"/>
      <c r="E332" s="1870"/>
      <c r="F332" s="1870"/>
      <c r="G332" s="1870"/>
      <c r="H332" s="1870"/>
    </row>
    <row r="333" spans="1:8" s="1146" customFormat="1" ht="13.5" customHeight="1" x14ac:dyDescent="0.3">
      <c r="A333" s="1157" t="s">
        <v>1124</v>
      </c>
      <c r="B333" s="1157">
        <v>1600</v>
      </c>
      <c r="C333" s="1161">
        <v>0.88</v>
      </c>
      <c r="D333" s="1157">
        <v>0.47</v>
      </c>
      <c r="E333" s="1157">
        <v>1</v>
      </c>
      <c r="F333" s="1157">
        <v>2</v>
      </c>
      <c r="G333" s="1157">
        <v>0.57999999999999996</v>
      </c>
      <c r="H333" s="1157">
        <v>0.64</v>
      </c>
    </row>
    <row r="334" spans="1:8" s="1146" customFormat="1" ht="13.5" customHeight="1" x14ac:dyDescent="0.3">
      <c r="A334" s="1157" t="s">
        <v>1125</v>
      </c>
      <c r="B334" s="1157">
        <v>1400</v>
      </c>
      <c r="C334" s="1161">
        <v>0.88</v>
      </c>
      <c r="D334" s="1157">
        <v>0.41</v>
      </c>
      <c r="E334" s="1157">
        <v>1</v>
      </c>
      <c r="F334" s="1157">
        <v>2</v>
      </c>
      <c r="G334" s="1157">
        <v>0.52</v>
      </c>
      <c r="H334" s="1157">
        <v>0.57999999999999996</v>
      </c>
    </row>
    <row r="335" spans="1:8" s="1146" customFormat="1" ht="13.5" customHeight="1" x14ac:dyDescent="0.3">
      <c r="A335" s="1157" t="s">
        <v>1126</v>
      </c>
      <c r="B335" s="1157">
        <v>1200</v>
      </c>
      <c r="C335" s="1161">
        <v>0.88</v>
      </c>
      <c r="D335" s="1157">
        <v>0.35</v>
      </c>
      <c r="E335" s="1157">
        <v>1</v>
      </c>
      <c r="F335" s="1157">
        <v>2</v>
      </c>
      <c r="G335" s="1157">
        <v>0.47</v>
      </c>
      <c r="H335" s="1157">
        <v>0.52</v>
      </c>
    </row>
    <row r="336" spans="1:8" s="1146" customFormat="1" ht="13.5" customHeight="1" x14ac:dyDescent="0.3">
      <c r="A336" s="1157" t="s">
        <v>1127</v>
      </c>
      <c r="B336" s="1157">
        <v>1500</v>
      </c>
      <c r="C336" s="1161">
        <v>0.88</v>
      </c>
      <c r="D336" s="1157">
        <v>0.64</v>
      </c>
      <c r="E336" s="1157">
        <v>2</v>
      </c>
      <c r="F336" s="1157">
        <v>4</v>
      </c>
      <c r="G336" s="1157">
        <v>0.7</v>
      </c>
      <c r="H336" s="1157">
        <v>0.81</v>
      </c>
    </row>
    <row r="337" spans="1:10" s="1146" customFormat="1" ht="13.5" customHeight="1" x14ac:dyDescent="0.3">
      <c r="A337" s="1157" t="s">
        <v>1128</v>
      </c>
      <c r="B337" s="1860">
        <v>1400</v>
      </c>
      <c r="C337" s="1863">
        <v>0.88</v>
      </c>
      <c r="D337" s="1860">
        <v>0.52</v>
      </c>
      <c r="E337" s="1860">
        <v>2</v>
      </c>
      <c r="F337" s="1860">
        <v>4</v>
      </c>
      <c r="G337" s="1860">
        <v>0.64</v>
      </c>
      <c r="H337" s="1860">
        <v>0.76</v>
      </c>
    </row>
    <row r="338" spans="1:10" s="1146" customFormat="1" ht="13.5" customHeight="1" x14ac:dyDescent="0.3">
      <c r="A338" s="1157" t="s">
        <v>1129</v>
      </c>
      <c r="B338" s="1860"/>
      <c r="C338" s="1863"/>
      <c r="D338" s="1860"/>
      <c r="E338" s="1860"/>
      <c r="F338" s="1860"/>
      <c r="G338" s="1860"/>
      <c r="H338" s="1860"/>
    </row>
    <row r="339" spans="1:10" s="1146" customFormat="1" ht="13.5" customHeight="1" x14ac:dyDescent="0.3">
      <c r="A339" s="1861" t="s">
        <v>1130</v>
      </c>
      <c r="B339" s="1861"/>
      <c r="C339" s="1861"/>
      <c r="D339" s="1861"/>
      <c r="E339" s="1861"/>
      <c r="F339" s="1861"/>
      <c r="G339" s="1861"/>
      <c r="H339" s="1861"/>
    </row>
    <row r="340" spans="1:10" s="1146" customFormat="1" ht="13.5" customHeight="1" x14ac:dyDescent="0.3">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3">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3">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3">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3">
      <c r="A344" s="1157" t="s">
        <v>1135</v>
      </c>
      <c r="B344" s="1157">
        <v>600</v>
      </c>
      <c r="C344" s="1161">
        <v>2.2999999999999998</v>
      </c>
      <c r="D344" s="1157">
        <v>0.12</v>
      </c>
      <c r="E344" s="1157">
        <v>10</v>
      </c>
      <c r="F344" s="1157">
        <v>13</v>
      </c>
      <c r="G344" s="1157">
        <v>0.15</v>
      </c>
      <c r="H344" s="1157">
        <v>0.18</v>
      </c>
    </row>
    <row r="345" spans="1:10" s="1146" customFormat="1" ht="13.5" customHeight="1" x14ac:dyDescent="0.3">
      <c r="A345" s="1157" t="s">
        <v>1136</v>
      </c>
      <c r="B345" s="1157">
        <v>1000</v>
      </c>
      <c r="C345" s="1161">
        <v>2.2999999999999998</v>
      </c>
      <c r="D345" s="1157">
        <v>0.18</v>
      </c>
      <c r="E345" s="1157">
        <v>5</v>
      </c>
      <c r="F345" s="1157">
        <v>10</v>
      </c>
      <c r="G345" s="1157">
        <v>0.21</v>
      </c>
      <c r="H345" s="1157">
        <v>0.23</v>
      </c>
    </row>
    <row r="346" spans="1:10" s="1146" customFormat="1" ht="13.5" customHeight="1" x14ac:dyDescent="0.3">
      <c r="A346" s="1157" t="s">
        <v>1137</v>
      </c>
      <c r="B346" s="1157">
        <v>650</v>
      </c>
      <c r="C346" s="1161">
        <v>2.2999999999999998</v>
      </c>
      <c r="D346" s="1157">
        <v>0.13</v>
      </c>
      <c r="E346" s="1157">
        <v>6</v>
      </c>
      <c r="F346" s="1157">
        <v>12</v>
      </c>
      <c r="G346" s="1157">
        <v>0.15</v>
      </c>
      <c r="H346" s="1157">
        <v>0.18</v>
      </c>
    </row>
    <row r="347" spans="1:10" s="1146" customFormat="1" ht="13.5" customHeight="1" x14ac:dyDescent="0.3">
      <c r="A347" s="1862" t="s">
        <v>1138</v>
      </c>
      <c r="B347" s="1862"/>
      <c r="C347" s="1862"/>
      <c r="D347" s="1862"/>
      <c r="E347" s="1862"/>
      <c r="F347" s="1862"/>
      <c r="G347" s="1862"/>
      <c r="H347" s="1862"/>
      <c r="J347" s="1146">
        <v>4.1000000000000002E-2</v>
      </c>
    </row>
    <row r="348" spans="1:10" s="1146" customFormat="1" ht="13.5" customHeight="1" x14ac:dyDescent="0.3">
      <c r="A348" s="1861" t="s">
        <v>1139</v>
      </c>
      <c r="B348" s="1861"/>
      <c r="C348" s="1861"/>
      <c r="D348" s="1861"/>
      <c r="E348" s="1861"/>
      <c r="F348" s="1861"/>
      <c r="G348" s="1861"/>
      <c r="H348" s="1861"/>
    </row>
    <row r="349" spans="1:10" s="1146" customFormat="1" ht="13.5" customHeight="1" x14ac:dyDescent="0.3">
      <c r="A349" s="1166" t="s">
        <v>1140</v>
      </c>
      <c r="B349" s="1157">
        <v>2500</v>
      </c>
      <c r="C349" s="1157">
        <v>0.84</v>
      </c>
      <c r="D349" s="1157">
        <v>1.69</v>
      </c>
      <c r="E349" s="1157">
        <v>2</v>
      </c>
      <c r="F349" s="1157">
        <v>3</v>
      </c>
      <c r="G349" s="1157">
        <v>1.92</v>
      </c>
      <c r="H349" s="1157">
        <v>2.04</v>
      </c>
    </row>
    <row r="350" spans="1:10" s="1146" customFormat="1" ht="13.5" customHeight="1" x14ac:dyDescent="0.3">
      <c r="A350" s="1157" t="s">
        <v>1141</v>
      </c>
      <c r="B350" s="1157">
        <v>2400</v>
      </c>
      <c r="C350" s="1157">
        <v>0.84</v>
      </c>
      <c r="D350" s="1157">
        <v>1.51</v>
      </c>
      <c r="E350" s="1157">
        <v>2</v>
      </c>
      <c r="F350" s="1157">
        <v>3</v>
      </c>
      <c r="G350" s="1157">
        <v>1.74</v>
      </c>
      <c r="H350" s="1157">
        <v>1.86</v>
      </c>
    </row>
    <row r="351" spans="1:10" s="1146" customFormat="1" ht="13.5" customHeight="1" x14ac:dyDescent="0.3">
      <c r="A351" s="1157" t="s">
        <v>1142</v>
      </c>
      <c r="B351" s="1157">
        <v>1800</v>
      </c>
      <c r="C351" s="1157">
        <v>0.84</v>
      </c>
      <c r="D351" s="1157">
        <v>0.57999999999999996</v>
      </c>
      <c r="E351" s="1157">
        <v>2</v>
      </c>
      <c r="F351" s="1157">
        <v>4</v>
      </c>
      <c r="G351" s="1157">
        <v>0.76</v>
      </c>
      <c r="H351" s="1157">
        <v>0.93</v>
      </c>
    </row>
    <row r="352" spans="1:10" s="1146" customFormat="1" ht="13.5" customHeight="1" x14ac:dyDescent="0.3">
      <c r="A352" s="1157" t="s">
        <v>1143</v>
      </c>
      <c r="B352" s="1157">
        <v>1700</v>
      </c>
      <c r="C352" s="1157">
        <v>0.84</v>
      </c>
      <c r="D352" s="1157">
        <v>0.52</v>
      </c>
      <c r="E352" s="1157">
        <v>2</v>
      </c>
      <c r="F352" s="1157">
        <v>4</v>
      </c>
      <c r="G352" s="1157">
        <v>0.7</v>
      </c>
      <c r="H352" s="1157">
        <v>0.87</v>
      </c>
    </row>
    <row r="353" spans="1:8" s="1146" customFormat="1" ht="13.5" customHeight="1" x14ac:dyDescent="0.3">
      <c r="A353" s="1157" t="s">
        <v>1144</v>
      </c>
      <c r="B353" s="1157">
        <v>1600</v>
      </c>
      <c r="C353" s="1157">
        <v>0.84</v>
      </c>
      <c r="D353" s="1157">
        <v>0.47</v>
      </c>
      <c r="E353" s="1157">
        <v>2</v>
      </c>
      <c r="F353" s="1157">
        <v>4</v>
      </c>
      <c r="G353" s="1157">
        <v>0.7</v>
      </c>
      <c r="H353" s="1157">
        <v>0.81</v>
      </c>
    </row>
    <row r="354" spans="1:8" s="1146" customFormat="1" ht="13.5" customHeight="1" x14ac:dyDescent="0.3">
      <c r="A354" s="1861" t="s">
        <v>1145</v>
      </c>
      <c r="B354" s="1861"/>
      <c r="C354" s="1861"/>
      <c r="D354" s="1861"/>
      <c r="E354" s="1861"/>
      <c r="F354" s="1861"/>
      <c r="G354" s="1861"/>
      <c r="H354" s="1861"/>
    </row>
    <row r="355" spans="1:8" s="1146" customFormat="1" ht="13.5" customHeight="1" x14ac:dyDescent="0.3">
      <c r="A355" s="1157" t="s">
        <v>1146</v>
      </c>
      <c r="B355" s="1157">
        <v>2800</v>
      </c>
      <c r="C355" s="1157">
        <v>0.88</v>
      </c>
      <c r="D355" s="1157">
        <v>3.49</v>
      </c>
      <c r="E355" s="1157">
        <v>0</v>
      </c>
      <c r="F355" s="1157">
        <v>0</v>
      </c>
      <c r="G355" s="1157">
        <v>3.49</v>
      </c>
      <c r="H355" s="1157">
        <v>3.49</v>
      </c>
    </row>
    <row r="356" spans="1:8" s="1146" customFormat="1" ht="13.5" customHeight="1" x14ac:dyDescent="0.3">
      <c r="A356" s="1157" t="s">
        <v>1147</v>
      </c>
      <c r="B356" s="1157">
        <v>2800</v>
      </c>
      <c r="C356" s="1157">
        <v>0.88</v>
      </c>
      <c r="D356" s="1157">
        <v>2.91</v>
      </c>
      <c r="E356" s="1157">
        <v>0</v>
      </c>
      <c r="F356" s="1157">
        <v>0</v>
      </c>
      <c r="G356" s="1157">
        <v>2.91</v>
      </c>
      <c r="H356" s="1157">
        <v>2.91</v>
      </c>
    </row>
    <row r="357" spans="1:8" s="1146" customFormat="1" ht="13.5" customHeight="1" x14ac:dyDescent="0.3">
      <c r="A357" s="1157" t="s">
        <v>1148</v>
      </c>
      <c r="B357" s="1157">
        <v>2000</v>
      </c>
      <c r="C357" s="1157">
        <v>0.88</v>
      </c>
      <c r="D357" s="1157">
        <v>0.93</v>
      </c>
      <c r="E357" s="1157">
        <v>2</v>
      </c>
      <c r="F357" s="1157">
        <v>3</v>
      </c>
      <c r="G357" s="1157">
        <v>1.1599999999999999</v>
      </c>
      <c r="H357" s="1157">
        <v>1.28</v>
      </c>
    </row>
    <row r="358" spans="1:8" s="1146" customFormat="1" ht="13.5" customHeight="1" x14ac:dyDescent="0.3">
      <c r="A358" s="1167" t="s">
        <v>1019</v>
      </c>
      <c r="B358" s="1157">
        <v>1800</v>
      </c>
      <c r="C358" s="1157">
        <v>0.88</v>
      </c>
      <c r="D358" s="1157">
        <v>0.7</v>
      </c>
      <c r="E358" s="1157">
        <v>2</v>
      </c>
      <c r="F358" s="1157">
        <v>3</v>
      </c>
      <c r="G358" s="1157">
        <v>0.93</v>
      </c>
      <c r="H358" s="1157">
        <v>1.05</v>
      </c>
    </row>
    <row r="359" spans="1:8" s="1146" customFormat="1" ht="13.5" customHeight="1" x14ac:dyDescent="0.3">
      <c r="A359" s="1157" t="s">
        <v>1148</v>
      </c>
      <c r="B359" s="1157">
        <v>1600</v>
      </c>
      <c r="C359" s="1157">
        <v>0.88</v>
      </c>
      <c r="D359" s="1157">
        <v>0.57999999999999996</v>
      </c>
      <c r="E359" s="1157">
        <v>2</v>
      </c>
      <c r="F359" s="1157">
        <v>3</v>
      </c>
      <c r="G359" s="1157">
        <v>0.73</v>
      </c>
      <c r="H359" s="1157">
        <v>0.81</v>
      </c>
    </row>
    <row r="360" spans="1:8" s="1146" customFormat="1" ht="13.5" customHeight="1" x14ac:dyDescent="0.3">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3">
      <c r="A361" s="1157" t="s">
        <v>1149</v>
      </c>
      <c r="B361" s="1157">
        <v>2000</v>
      </c>
      <c r="C361" s="1157">
        <v>0.88</v>
      </c>
      <c r="D361" s="1157">
        <v>0.76</v>
      </c>
      <c r="E361" s="1157">
        <v>3</v>
      </c>
      <c r="F361" s="1157">
        <v>5</v>
      </c>
      <c r="G361" s="1157">
        <v>0.93</v>
      </c>
      <c r="H361" s="1157">
        <v>1.05</v>
      </c>
    </row>
    <row r="362" spans="1:8" s="1146" customFormat="1" ht="13.5" customHeight="1" x14ac:dyDescent="0.3">
      <c r="A362" s="1167" t="s">
        <v>1019</v>
      </c>
      <c r="B362" s="1157">
        <v>1800</v>
      </c>
      <c r="C362" s="1157">
        <v>0.88</v>
      </c>
      <c r="D362" s="1157">
        <v>0.56000000000000005</v>
      </c>
      <c r="E362" s="1157">
        <v>3</v>
      </c>
      <c r="F362" s="1157">
        <v>5</v>
      </c>
      <c r="G362" s="1157">
        <v>0.7</v>
      </c>
      <c r="H362" s="1157">
        <v>0.81</v>
      </c>
    </row>
    <row r="363" spans="1:8" s="1146" customFormat="1" ht="13.5" customHeight="1" x14ac:dyDescent="0.3">
      <c r="A363" s="1167" t="s">
        <v>1019</v>
      </c>
      <c r="B363" s="1157">
        <v>1600</v>
      </c>
      <c r="C363" s="1157">
        <v>0.88</v>
      </c>
      <c r="D363" s="1157">
        <v>0.41</v>
      </c>
      <c r="E363" s="1157">
        <v>3</v>
      </c>
      <c r="F363" s="1157">
        <v>5</v>
      </c>
      <c r="G363" s="1157">
        <v>0.52</v>
      </c>
      <c r="H363" s="1157">
        <v>0.64</v>
      </c>
    </row>
    <row r="364" spans="1:8" s="1146" customFormat="1" ht="13.5" customHeight="1" x14ac:dyDescent="0.3">
      <c r="A364" s="1167" t="s">
        <v>1019</v>
      </c>
      <c r="B364" s="1157">
        <v>1400</v>
      </c>
      <c r="C364" s="1157">
        <v>0.88</v>
      </c>
      <c r="D364" s="1157">
        <v>0.33</v>
      </c>
      <c r="E364" s="1157">
        <v>3</v>
      </c>
      <c r="F364" s="1157">
        <v>5</v>
      </c>
      <c r="G364" s="1157">
        <v>0.43</v>
      </c>
      <c r="H364" s="1157">
        <v>0.52</v>
      </c>
    </row>
    <row r="365" spans="1:8" s="1146" customFormat="1" ht="13.5" customHeight="1" x14ac:dyDescent="0.3">
      <c r="A365" s="1167" t="s">
        <v>1019</v>
      </c>
      <c r="B365" s="1157">
        <v>1200</v>
      </c>
      <c r="C365" s="1157">
        <v>0.88</v>
      </c>
      <c r="D365" s="1157">
        <v>0.27</v>
      </c>
      <c r="E365" s="1157">
        <v>3</v>
      </c>
      <c r="F365" s="1157">
        <v>5</v>
      </c>
      <c r="G365" s="1157">
        <v>0.35</v>
      </c>
      <c r="H365" s="1157">
        <v>0.41</v>
      </c>
    </row>
    <row r="366" spans="1:8" s="1146" customFormat="1" ht="13.5" customHeight="1" x14ac:dyDescent="0.3">
      <c r="A366" s="1167" t="s">
        <v>1019</v>
      </c>
      <c r="B366" s="1157">
        <v>1000</v>
      </c>
      <c r="C366" s="1157">
        <v>0.88</v>
      </c>
      <c r="D366" s="1157">
        <v>0.21</v>
      </c>
      <c r="E366" s="1157">
        <v>3</v>
      </c>
      <c r="F366" s="1157">
        <v>5</v>
      </c>
      <c r="G366" s="1157">
        <v>0.24</v>
      </c>
      <c r="H366" s="1157">
        <v>0.28999999999999998</v>
      </c>
    </row>
    <row r="367" spans="1:8" s="1146" customFormat="1" ht="13.5" customHeight="1" x14ac:dyDescent="0.3">
      <c r="A367" s="1866" t="s">
        <v>1150</v>
      </c>
      <c r="B367" s="1866"/>
      <c r="C367" s="1866"/>
      <c r="D367" s="1866"/>
      <c r="E367" s="1866"/>
      <c r="F367" s="1866"/>
      <c r="G367" s="1866"/>
      <c r="H367" s="1866"/>
    </row>
    <row r="368" spans="1:8" s="1146" customFormat="1" ht="13.5" customHeight="1" x14ac:dyDescent="0.3">
      <c r="A368" s="1157" t="s">
        <v>1151</v>
      </c>
      <c r="B368" s="1157">
        <v>1800</v>
      </c>
      <c r="C368" s="1157">
        <v>0.84</v>
      </c>
      <c r="D368" s="1157">
        <v>0.35</v>
      </c>
      <c r="E368" s="1157">
        <v>2</v>
      </c>
      <c r="F368" s="1157">
        <v>3</v>
      </c>
      <c r="G368" s="1157">
        <v>0.47</v>
      </c>
      <c r="H368" s="1157">
        <v>0.52</v>
      </c>
    </row>
    <row r="369" spans="1:15" s="1146" customFormat="1" ht="13.5" customHeight="1" x14ac:dyDescent="0.3">
      <c r="A369" s="1157" t="s">
        <v>1022</v>
      </c>
      <c r="B369" s="1157">
        <v>1600</v>
      </c>
      <c r="C369" s="1157">
        <v>0.84</v>
      </c>
      <c r="D369" s="1157">
        <v>0.23</v>
      </c>
      <c r="E369" s="1157">
        <v>2</v>
      </c>
      <c r="F369" s="1157">
        <v>3</v>
      </c>
      <c r="G369" s="1157">
        <v>0.35</v>
      </c>
      <c r="H369" s="1157">
        <v>0.41</v>
      </c>
    </row>
    <row r="370" spans="1:15" ht="24" x14ac:dyDescent="0.3">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3">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3">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3">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3">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3">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3">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3">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3">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3">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3">
      <c r="A380" s="1861" t="s">
        <v>1157</v>
      </c>
      <c r="B380" s="1861"/>
      <c r="C380" s="1861"/>
      <c r="D380" s="1861"/>
      <c r="E380" s="1861"/>
      <c r="F380" s="1861"/>
      <c r="G380" s="1861"/>
      <c r="H380" s="1861"/>
      <c r="I380" s="1146"/>
      <c r="J380" s="1146"/>
      <c r="K380" s="1146"/>
      <c r="L380" s="1146"/>
      <c r="M380" s="1146"/>
      <c r="N380" s="1146"/>
      <c r="O380" s="1146"/>
    </row>
    <row r="381" spans="1:15" x14ac:dyDescent="0.3">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3">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3">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3">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3">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3">
      <c r="A389" s="1168"/>
    </row>
    <row r="390" spans="1:15" x14ac:dyDescent="0.3">
      <c r="A390" s="1168" t="s">
        <v>1513</v>
      </c>
    </row>
    <row r="391" spans="1:15" x14ac:dyDescent="0.3">
      <c r="A391" s="1169"/>
      <c r="B391" s="95" t="s">
        <v>1504</v>
      </c>
      <c r="C391" s="95" t="s">
        <v>1505</v>
      </c>
      <c r="D391" s="95" t="s">
        <v>1506</v>
      </c>
      <c r="E391" s="95" t="s">
        <v>1507</v>
      </c>
    </row>
    <row r="392" spans="1:15" x14ac:dyDescent="0.3">
      <c r="A392" s="1169">
        <v>2000</v>
      </c>
      <c r="B392" s="95">
        <v>1.2</v>
      </c>
      <c r="C392" s="95">
        <v>1.8</v>
      </c>
      <c r="D392" s="95">
        <v>1.6</v>
      </c>
      <c r="E392" s="95">
        <v>0.35</v>
      </c>
    </row>
    <row r="393" spans="1:15" x14ac:dyDescent="0.3">
      <c r="A393" s="1169">
        <v>4000</v>
      </c>
      <c r="B393" s="95">
        <v>1.6</v>
      </c>
      <c r="C393" s="95">
        <v>2.5</v>
      </c>
      <c r="D393" s="95">
        <v>2.2000000000000002</v>
      </c>
      <c r="E393" s="95">
        <v>0.4</v>
      </c>
    </row>
    <row r="394" spans="1:15" x14ac:dyDescent="0.3">
      <c r="A394" s="1169">
        <v>6000</v>
      </c>
      <c r="B394" s="95">
        <v>2</v>
      </c>
      <c r="C394" s="95">
        <v>3.2</v>
      </c>
      <c r="D394" s="95">
        <v>2.8</v>
      </c>
      <c r="E394" s="95">
        <v>0.45</v>
      </c>
    </row>
    <row r="395" spans="1:15" x14ac:dyDescent="0.3">
      <c r="A395" s="1169">
        <v>8000</v>
      </c>
      <c r="B395" s="95">
        <v>2.4</v>
      </c>
      <c r="C395" s="95">
        <v>3.9</v>
      </c>
      <c r="D395" s="95">
        <v>3.4</v>
      </c>
      <c r="E395" s="95">
        <v>0.5</v>
      </c>
    </row>
    <row r="396" spans="1:15" x14ac:dyDescent="0.3">
      <c r="A396" s="1169">
        <v>10000</v>
      </c>
      <c r="B396" s="95">
        <v>2.8</v>
      </c>
      <c r="C396" s="95">
        <v>4.5999999999999996</v>
      </c>
      <c r="D396" s="95">
        <v>4</v>
      </c>
      <c r="E396" s="95">
        <v>0.55000000000000004</v>
      </c>
    </row>
    <row r="397" spans="1:15" x14ac:dyDescent="0.3">
      <c r="A397" s="1169">
        <v>12000</v>
      </c>
      <c r="B397" s="95">
        <v>3.2</v>
      </c>
      <c r="C397" s="95">
        <v>5.3</v>
      </c>
      <c r="D397" s="95">
        <v>4.5999999999999996</v>
      </c>
      <c r="E397" s="95">
        <v>0.6</v>
      </c>
    </row>
    <row r="398" spans="1:15" x14ac:dyDescent="0.3">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3">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3">
      <c r="A400" s="1168" t="s">
        <v>1514</v>
      </c>
    </row>
    <row r="401" spans="1:5" x14ac:dyDescent="0.3">
      <c r="A401" s="1169"/>
      <c r="B401" s="95" t="s">
        <v>1504</v>
      </c>
      <c r="C401" s="95" t="s">
        <v>1505</v>
      </c>
      <c r="D401" s="95" t="s">
        <v>1506</v>
      </c>
      <c r="E401" s="95" t="s">
        <v>1507</v>
      </c>
    </row>
    <row r="402" spans="1:5" x14ac:dyDescent="0.3">
      <c r="A402" s="1169">
        <v>2000</v>
      </c>
      <c r="B402" s="95">
        <v>2.1</v>
      </c>
      <c r="C402" s="95">
        <v>3.2</v>
      </c>
      <c r="D402" s="95">
        <v>2.8</v>
      </c>
      <c r="E402" s="95">
        <v>0.35</v>
      </c>
    </row>
    <row r="403" spans="1:5" x14ac:dyDescent="0.3">
      <c r="A403" s="1169">
        <v>4000</v>
      </c>
      <c r="B403" s="95">
        <v>2.8</v>
      </c>
      <c r="C403" s="95">
        <v>4.2</v>
      </c>
      <c r="D403" s="95">
        <v>3.7</v>
      </c>
      <c r="E403" s="95">
        <v>0.4</v>
      </c>
    </row>
    <row r="404" spans="1:5" x14ac:dyDescent="0.3">
      <c r="A404" s="1169">
        <v>6000</v>
      </c>
      <c r="B404" s="95">
        <v>3.5</v>
      </c>
      <c r="C404" s="95">
        <v>5.2</v>
      </c>
      <c r="D404" s="95">
        <v>4.5999999999999996</v>
      </c>
      <c r="E404" s="95">
        <v>0.45</v>
      </c>
    </row>
    <row r="405" spans="1:5" x14ac:dyDescent="0.3">
      <c r="A405" s="1169">
        <v>8000</v>
      </c>
      <c r="B405" s="95">
        <v>4.2</v>
      </c>
      <c r="C405" s="95">
        <v>6.2</v>
      </c>
      <c r="D405" s="95">
        <v>5.5</v>
      </c>
      <c r="E405" s="95">
        <v>0.5</v>
      </c>
    </row>
    <row r="406" spans="1:5" x14ac:dyDescent="0.3">
      <c r="A406" s="1169">
        <v>10000</v>
      </c>
      <c r="B406" s="95">
        <v>4.9000000000000004</v>
      </c>
      <c r="C406" s="95">
        <v>7.2</v>
      </c>
      <c r="D406" s="95">
        <v>6.4</v>
      </c>
      <c r="E406" s="95">
        <v>0.55000000000000004</v>
      </c>
    </row>
    <row r="407" spans="1:5" x14ac:dyDescent="0.3">
      <c r="A407" s="1169">
        <v>12000</v>
      </c>
      <c r="B407" s="95">
        <v>5.6</v>
      </c>
      <c r="C407" s="95">
        <v>8.1999999999999993</v>
      </c>
      <c r="D407" s="95">
        <v>7.3</v>
      </c>
      <c r="E407" s="95">
        <v>0.6</v>
      </c>
    </row>
    <row r="408" spans="1:5" x14ac:dyDescent="0.3">
      <c r="B408" s="75">
        <f>SLOPE(B402:B407,$A$402:$A$407)</f>
        <v>3.5E-4</v>
      </c>
      <c r="C408" s="75">
        <f t="shared" ref="C408:E408" si="12">SLOPE(C402:C407,$A$402:$A$407)</f>
        <v>5.0000000000000001E-4</v>
      </c>
      <c r="D408" s="75">
        <f t="shared" si="12"/>
        <v>4.4999999999999999E-4</v>
      </c>
      <c r="E408" s="75">
        <f t="shared" si="12"/>
        <v>2.5000000000000001E-5</v>
      </c>
    </row>
    <row r="409" spans="1:5" x14ac:dyDescent="0.3">
      <c r="B409" s="75">
        <f>INTERCEPT(B402:B407,$A$402:$A$407)</f>
        <v>1.4</v>
      </c>
      <c r="C409" s="75">
        <f t="shared" ref="C409:E409" si="13">INTERCEPT(C402:C407,$A$402:$A$407)</f>
        <v>2.2000000000000002</v>
      </c>
      <c r="D409" s="75">
        <f t="shared" si="13"/>
        <v>1.9</v>
      </c>
      <c r="E409" s="75">
        <f t="shared" si="13"/>
        <v>0.30000000000000004</v>
      </c>
    </row>
    <row r="410" spans="1:5" x14ac:dyDescent="0.3">
      <c r="A410" s="101" t="s">
        <v>1508</v>
      </c>
    </row>
    <row r="411" spans="1:5" x14ac:dyDescent="0.3">
      <c r="A411" s="95"/>
      <c r="B411" s="95" t="s">
        <v>1511</v>
      </c>
      <c r="C411" s="95" t="s">
        <v>1512</v>
      </c>
    </row>
    <row r="412" spans="1:5" x14ac:dyDescent="0.3">
      <c r="A412" s="95" t="s">
        <v>514</v>
      </c>
      <c r="B412" s="285">
        <f>B399+B398*Климатология!$I$2</f>
        <v>1.5068799999999998</v>
      </c>
      <c r="C412" s="285">
        <f>B409+B408*Климатология!$I$2</f>
        <v>2.6370399999999998</v>
      </c>
    </row>
    <row r="413" spans="1:5" x14ac:dyDescent="0.3">
      <c r="A413" s="95" t="s">
        <v>1505</v>
      </c>
      <c r="B413" s="285">
        <f>C399+C398*Климатология!$I$2</f>
        <v>2.33704</v>
      </c>
      <c r="C413" s="285">
        <f>C409+C408*Климатология!$I$2</f>
        <v>3.9672000000000001</v>
      </c>
    </row>
    <row r="414" spans="1:5" x14ac:dyDescent="0.3">
      <c r="A414" s="95" t="s">
        <v>1506</v>
      </c>
      <c r="B414" s="285">
        <f>D399+D398*Климатология!$I$2</f>
        <v>2.0603200000000004</v>
      </c>
      <c r="C414" s="285">
        <f>D409+D408*Климатология!$I$2</f>
        <v>3.4904799999999998</v>
      </c>
    </row>
    <row r="415" spans="1:5" x14ac:dyDescent="0.3">
      <c r="A415" s="95" t="s">
        <v>1507</v>
      </c>
      <c r="B415" s="285">
        <f>E399+E398*Климатология!$I$2</f>
        <v>0.38836000000000004</v>
      </c>
      <c r="C415" s="285">
        <f>E409+E408*Климатология!$I$2</f>
        <v>0.38836000000000004</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topLeftCell="A16" zoomScale="75" zoomScaleNormal="75" workbookViewId="0">
      <selection activeCell="F27" sqref="F27"/>
    </sheetView>
  </sheetViews>
  <sheetFormatPr defaultColWidth="9.109375" defaultRowHeight="14.4" x14ac:dyDescent="0.3"/>
  <cols>
    <col min="1" max="1" width="95.6640625" style="75" customWidth="1"/>
    <col min="2" max="2" width="35.33203125" style="75" customWidth="1"/>
    <col min="3" max="4" width="10.109375" style="75" customWidth="1"/>
    <col min="5" max="5" width="24.5546875" style="75" customWidth="1"/>
    <col min="6" max="16384" width="9.109375" style="75"/>
  </cols>
  <sheetData>
    <row r="1" spans="1:60" ht="62.25" customHeight="1" x14ac:dyDescent="0.55000000000000004">
      <c r="A1" s="1763" t="s">
        <v>1457</v>
      </c>
      <c r="B1" s="1763"/>
      <c r="C1" s="1763"/>
      <c r="D1" s="1763"/>
      <c r="E1" s="1763"/>
      <c r="F1" s="1763"/>
      <c r="G1" s="1763"/>
      <c r="H1" s="1763"/>
      <c r="I1" s="1763"/>
      <c r="J1" s="1763"/>
      <c r="K1" s="1763"/>
      <c r="L1" s="1763"/>
      <c r="M1" s="1763"/>
      <c r="N1" s="1763"/>
      <c r="O1" s="1763"/>
      <c r="P1" s="1763"/>
      <c r="Q1" s="1763"/>
      <c r="R1" s="1763"/>
      <c r="S1" s="1763"/>
      <c r="T1" s="1763"/>
      <c r="U1" s="1763"/>
      <c r="V1" s="1763"/>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3">
      <c r="E2" s="76"/>
      <c r="F2" s="1871" t="s">
        <v>897</v>
      </c>
      <c r="G2" s="1872"/>
      <c r="H2" s="1871" t="s">
        <v>898</v>
      </c>
      <c r="I2" s="1872"/>
    </row>
    <row r="3" spans="1:60" ht="52.8" x14ac:dyDescent="0.3">
      <c r="A3" s="77" t="s">
        <v>765</v>
      </c>
      <c r="B3" s="78" t="s">
        <v>767</v>
      </c>
      <c r="E3" s="76"/>
      <c r="F3" s="79">
        <v>1</v>
      </c>
      <c r="G3" s="79"/>
      <c r="H3" s="79"/>
      <c r="I3" s="80"/>
    </row>
    <row r="4" spans="1:60" ht="26.4" x14ac:dyDescent="0.3">
      <c r="A4" s="81" t="s">
        <v>768</v>
      </c>
      <c r="B4" s="82">
        <f>0.5</f>
        <v>0.5</v>
      </c>
      <c r="C4" s="75">
        <f>IF(AND($F$9=1,$F$11=0,$F$7=1),1,0)</f>
        <v>0</v>
      </c>
      <c r="D4" s="75">
        <f>IF(AND($H$9=1,$H$11=0,$H$7=1),1,0)</f>
        <v>0</v>
      </c>
      <c r="E4" s="76" t="s">
        <v>799</v>
      </c>
      <c r="F4" s="79">
        <f>IF($F$3=1,1,0)</f>
        <v>1</v>
      </c>
      <c r="G4" s="79"/>
      <c r="H4" s="79">
        <f>IF(OR(F4=0,H5=1,H6=1),0,1)</f>
        <v>0</v>
      </c>
      <c r="I4" s="80"/>
    </row>
    <row r="5" spans="1:60" ht="26.4" x14ac:dyDescent="0.3">
      <c r="A5" s="81" t="s">
        <v>769</v>
      </c>
      <c r="B5" s="82">
        <f>0.5</f>
        <v>0.5</v>
      </c>
      <c r="C5" s="75">
        <f>IF(AND($F$10=1,$F$11=0,$F$7=1),1,0)</f>
        <v>0</v>
      </c>
      <c r="D5" s="75">
        <f>IF(AND($H$10=1,$H$11=0,$H$7=1),1,0)</f>
        <v>0</v>
      </c>
      <c r="E5" s="76" t="s">
        <v>800</v>
      </c>
      <c r="F5" s="79">
        <f>IF($F$3=2,1,0)</f>
        <v>0</v>
      </c>
      <c r="G5" s="79"/>
      <c r="H5" s="79">
        <f>IF(OR(F5=1,'Список мероприятий'!D33=списки!N45),1,0)</f>
        <v>0</v>
      </c>
      <c r="I5" s="80"/>
    </row>
    <row r="6" spans="1:60" ht="30" customHeight="1" x14ac:dyDescent="0.3">
      <c r="A6" s="81" t="s">
        <v>770</v>
      </c>
      <c r="B6" s="82">
        <f>0.85</f>
        <v>0.85</v>
      </c>
      <c r="C6" s="75">
        <f>IF(AND($F$9=1,$F$11=1,$F$7=1),1,0)</f>
        <v>0</v>
      </c>
      <c r="D6" s="75">
        <f>IF(AND($H$9=1,$H$11=1,$H$7=1),1,0)</f>
        <v>0</v>
      </c>
      <c r="E6" s="76" t="s">
        <v>801</v>
      </c>
      <c r="F6" s="79">
        <f>IF($F$3=3,1,0)</f>
        <v>0</v>
      </c>
      <c r="G6" s="79"/>
      <c r="H6" s="79">
        <f>IF(OR(F6=1,'Список мероприятий'!D33=списки!N46),1,0)</f>
        <v>1</v>
      </c>
      <c r="I6" s="80"/>
    </row>
    <row r="7" spans="1:60" ht="29.4" customHeight="1" x14ac:dyDescent="0.3">
      <c r="A7" s="81" t="s">
        <v>771</v>
      </c>
      <c r="B7" s="82">
        <f>0.9</f>
        <v>0.9</v>
      </c>
      <c r="C7" s="75">
        <f>IF(AND($F$10=1,$F$11=1,$F$7=1),1,0)</f>
        <v>0</v>
      </c>
      <c r="D7" s="75">
        <f>IF(AND($H$10=1,$H$11=1,$H$7=1),1,0)</f>
        <v>0</v>
      </c>
      <c r="E7" s="76" t="s">
        <v>803</v>
      </c>
      <c r="F7" s="79">
        <f>IF($F$3=4,1,0)</f>
        <v>0</v>
      </c>
      <c r="G7" s="79"/>
      <c r="H7" s="79">
        <f>IF(AND(H5=0,H6=0,H4=0),1,0)</f>
        <v>0</v>
      </c>
      <c r="I7" s="80"/>
    </row>
    <row r="8" spans="1:60" ht="18" customHeight="1" x14ac:dyDescent="0.3">
      <c r="A8" s="81" t="s">
        <v>772</v>
      </c>
      <c r="B8" s="82">
        <f>0.5</f>
        <v>0.5</v>
      </c>
      <c r="C8" s="75">
        <f>IF(AND($F$9=1,$F$11=0,$F$4=1),1,0)</f>
        <v>0</v>
      </c>
      <c r="D8" s="75">
        <f>IF(AND($H$9=1,$H$11=0,$H$4=1),1,0)</f>
        <v>0</v>
      </c>
      <c r="E8" s="83" t="s">
        <v>739</v>
      </c>
      <c r="F8" s="79">
        <v>2</v>
      </c>
      <c r="G8" s="79"/>
      <c r="H8" s="79"/>
      <c r="I8" s="80"/>
    </row>
    <row r="9" spans="1:60" ht="23.4" customHeight="1" x14ac:dyDescent="0.3">
      <c r="A9" s="81" t="s">
        <v>773</v>
      </c>
      <c r="B9" s="82">
        <f>0.5</f>
        <v>0.5</v>
      </c>
      <c r="C9" s="75">
        <f>IF(AND($F$10=1,$F$11=0,$F$4=1),1,0)</f>
        <v>1</v>
      </c>
      <c r="D9" s="75">
        <f>IF(AND($H$10=1,$H$11=0,$H$4=1),1,0)</f>
        <v>0</v>
      </c>
      <c r="E9" s="83" t="s">
        <v>737</v>
      </c>
      <c r="F9" s="79">
        <f>IF(F8=1,1,0)</f>
        <v>0</v>
      </c>
      <c r="G9" s="79"/>
      <c r="H9" s="79">
        <f>F9</f>
        <v>0</v>
      </c>
      <c r="I9" s="80"/>
    </row>
    <row r="10" spans="1:60" ht="21" customHeight="1" x14ac:dyDescent="0.3">
      <c r="A10" s="81" t="s">
        <v>774</v>
      </c>
      <c r="B10" s="82">
        <f>0.85</f>
        <v>0.85</v>
      </c>
      <c r="C10" s="75">
        <f>IF(AND($F$9=1,$F$11=1,$F$4=1),1,0)</f>
        <v>0</v>
      </c>
      <c r="D10" s="75">
        <f>IF(AND($H$9=1,$H$11=1,$H$4=1),1,0)</f>
        <v>0</v>
      </c>
      <c r="E10" s="83" t="s">
        <v>738</v>
      </c>
      <c r="F10" s="79">
        <f>IF(F8=2,1,0)</f>
        <v>1</v>
      </c>
      <c r="G10" s="79"/>
      <c r="H10" s="79">
        <f>F10</f>
        <v>1</v>
      </c>
      <c r="I10" s="80"/>
    </row>
    <row r="11" spans="1:60" ht="26.4" customHeight="1" x14ac:dyDescent="0.3">
      <c r="A11" s="81" t="s">
        <v>775</v>
      </c>
      <c r="B11" s="82">
        <f>0.9</f>
        <v>0.9</v>
      </c>
      <c r="C11" s="75">
        <f>IF(AND($F$10=1,$F$11=1,$F$4=1),1,0)</f>
        <v>0</v>
      </c>
      <c r="D11" s="75">
        <f>IF(AND($H$10=1,$H$11=1,$H$4=1),1,0)</f>
        <v>0</v>
      </c>
      <c r="E11" s="80" t="s">
        <v>802</v>
      </c>
      <c r="F11" s="79">
        <f>IF(G11=TRUE,1,0)</f>
        <v>0</v>
      </c>
      <c r="G11" s="79" t="b">
        <v>0</v>
      </c>
      <c r="H11" s="79">
        <f>F11</f>
        <v>0</v>
      </c>
      <c r="I11" s="80"/>
    </row>
    <row r="12" spans="1:60" ht="29.4" customHeight="1" x14ac:dyDescent="0.3">
      <c r="A12" s="81" t="s">
        <v>776</v>
      </c>
      <c r="B12" s="82">
        <f>0.7</f>
        <v>0.7</v>
      </c>
      <c r="C12" s="75">
        <f>IF(AND($F$9=1,$F$11=0,$F$5=1),1,0)</f>
        <v>0</v>
      </c>
      <c r="D12" s="75">
        <f>IF(AND($H$9=1,$H$11=0,$H$5=1),1,0)</f>
        <v>0</v>
      </c>
      <c r="E12" s="84"/>
    </row>
    <row r="13" spans="1:60" ht="29.4" customHeight="1" x14ac:dyDescent="0.3">
      <c r="A13" s="81" t="s">
        <v>777</v>
      </c>
      <c r="B13" s="82">
        <f>0.7</f>
        <v>0.7</v>
      </c>
      <c r="C13" s="75">
        <f>IF(AND($F$10=1,$F$11=0,$F$5=1),1,0)</f>
        <v>0</v>
      </c>
      <c r="D13" s="75">
        <f>IF(AND($H$10=1,$H$11=0,$H$5=1),1,0)</f>
        <v>0</v>
      </c>
      <c r="E13" s="84"/>
    </row>
    <row r="14" spans="1:60" ht="32.4" customHeight="1" x14ac:dyDescent="0.3">
      <c r="A14" s="81" t="s">
        <v>778</v>
      </c>
      <c r="B14" s="82">
        <f>0.9</f>
        <v>0.9</v>
      </c>
      <c r="C14" s="75">
        <f>IF(AND($F$9=1,$F$11=1,$F$5=1),1,0)</f>
        <v>0</v>
      </c>
      <c r="D14" s="75">
        <f>IF(AND($H$9=1,$H$11=1,$H$5=1),1,0)</f>
        <v>0</v>
      </c>
      <c r="E14" s="84"/>
    </row>
    <row r="15" spans="1:60" ht="29.4" customHeight="1" x14ac:dyDescent="0.3">
      <c r="A15" s="81" t="s">
        <v>779</v>
      </c>
      <c r="B15" s="82">
        <f>0.95</f>
        <v>0.95</v>
      </c>
      <c r="C15" s="75">
        <f>IF(AND($F$10=1,$F$11=1,$F$5=1),1,0)</f>
        <v>0</v>
      </c>
      <c r="D15" s="75">
        <f>IF(AND($H$10=1,$H$11=1,$H$5=1),1,0)</f>
        <v>0</v>
      </c>
      <c r="E15" s="84"/>
    </row>
    <row r="16" spans="1:60" ht="29.4" customHeight="1" x14ac:dyDescent="0.3">
      <c r="A16" s="81" t="s">
        <v>780</v>
      </c>
      <c r="B16" s="82">
        <f>0.7</f>
        <v>0.7</v>
      </c>
      <c r="C16" s="75">
        <f>IF(AND($F$9=1,$F$11=0,$F$6=1),1,0)</f>
        <v>0</v>
      </c>
      <c r="D16" s="75">
        <f>IF(AND($H$9=1,$H$11=0,$H$6=1),1,0)</f>
        <v>0</v>
      </c>
      <c r="E16" s="84"/>
    </row>
    <row r="17" spans="1:5" ht="29.4" customHeight="1" x14ac:dyDescent="0.3">
      <c r="A17" s="81" t="s">
        <v>781</v>
      </c>
      <c r="B17" s="82">
        <f>0.7</f>
        <v>0.7</v>
      </c>
      <c r="C17" s="75">
        <f>IF(AND($F$10=1,$F$11=0,$F$6=1),1,0)</f>
        <v>0</v>
      </c>
      <c r="D17" s="75">
        <f>IF(AND($H$10=1,$H$11=0,$H$6=1),1,0)</f>
        <v>1</v>
      </c>
      <c r="E17" s="84"/>
    </row>
    <row r="18" spans="1:5" ht="29.4" customHeight="1" x14ac:dyDescent="0.3">
      <c r="A18" s="81" t="s">
        <v>782</v>
      </c>
      <c r="B18" s="82">
        <f>0.9</f>
        <v>0.9</v>
      </c>
      <c r="C18" s="75">
        <f>IF(AND($F$9=1,$F$11=1,$F$6=1),1,0)</f>
        <v>0</v>
      </c>
      <c r="D18" s="75">
        <f>IF(AND($H$9=1,$H$11=1,$H$6=1),1,0)</f>
        <v>0</v>
      </c>
      <c r="E18" s="84"/>
    </row>
    <row r="19" spans="1:5" ht="27.9" customHeight="1" x14ac:dyDescent="0.3">
      <c r="A19" s="81" t="s">
        <v>783</v>
      </c>
      <c r="B19" s="82">
        <f>0.95</f>
        <v>0.95</v>
      </c>
      <c r="C19" s="75">
        <f>IF(AND($F$10=1,$F$11=1,$F$6=1),1,0)</f>
        <v>0</v>
      </c>
      <c r="D19" s="75">
        <f>IF(AND($H$10=1,$H$11=1,$H$6=1),1,0)</f>
        <v>0</v>
      </c>
      <c r="E19" s="84"/>
    </row>
    <row r="20" spans="1:5" ht="27.9" customHeight="1" x14ac:dyDescent="0.3">
      <c r="A20" s="85"/>
      <c r="B20" s="86"/>
      <c r="E20" s="84"/>
    </row>
    <row r="21" spans="1:5" ht="27.9" customHeight="1" x14ac:dyDescent="0.3">
      <c r="A21" s="87"/>
      <c r="B21" s="88"/>
      <c r="E21" s="84"/>
    </row>
    <row r="22" spans="1:5" ht="105" customHeight="1" x14ac:dyDescent="0.3">
      <c r="A22" s="77" t="s">
        <v>1458</v>
      </c>
      <c r="B22" s="89" t="s">
        <v>1459</v>
      </c>
      <c r="C22" s="75" t="s">
        <v>899</v>
      </c>
      <c r="E22" s="84" t="s">
        <v>900</v>
      </c>
    </row>
    <row r="23" spans="1:5" ht="27.9" customHeight="1" x14ac:dyDescent="0.3">
      <c r="A23" s="81" t="s">
        <v>1460</v>
      </c>
      <c r="B23" s="82">
        <f>1.13</f>
        <v>1.1299999999999999</v>
      </c>
      <c r="C23" s="75">
        <f>IF(AND(списки!D34=0,'Ввод исходных данных'!D17&gt;4),1,0)</f>
        <v>0</v>
      </c>
      <c r="E23" s="84">
        <f>IF(AND(списки!D32=0,списки!D34=0,'Ввод исходных данных'!D17&gt;4),1,0)</f>
        <v>0</v>
      </c>
    </row>
    <row r="24" spans="1:5" ht="27.9" customHeight="1" x14ac:dyDescent="0.3">
      <c r="A24" s="81" t="s">
        <v>1461</v>
      </c>
      <c r="B24" s="82">
        <f>1.11</f>
        <v>1.1100000000000001</v>
      </c>
      <c r="C24" s="75">
        <f>IF(AND(списки!D34=0,'Ввод исходных данных'!D19&gt;=9,'Ввод исходных данных'!D17=1),1,0)</f>
        <v>0</v>
      </c>
      <c r="E24" s="84"/>
    </row>
    <row r="25" spans="1:5" ht="27.9" customHeight="1" x14ac:dyDescent="0.3">
      <c r="A25" s="81" t="s">
        <v>1626</v>
      </c>
      <c r="B25" s="82">
        <v>1.0900000000000001</v>
      </c>
      <c r="C25" s="75">
        <f>IF(AND(списки!D34=0,'Ввод исходных данных'!D19&lt;9,'Ввод исходных данных'!D17&lt;=4),1,0)</f>
        <v>0</v>
      </c>
      <c r="E25" s="84"/>
    </row>
    <row r="26" spans="1:5" ht="27.9" customHeight="1" x14ac:dyDescent="0.3">
      <c r="A26" s="81" t="s">
        <v>1627</v>
      </c>
      <c r="B26" s="82">
        <f>1.07</f>
        <v>1.07</v>
      </c>
      <c r="C26" s="75">
        <f>IF(списки!D34=1,1,0)</f>
        <v>1</v>
      </c>
      <c r="E26" s="84"/>
    </row>
    <row r="27" spans="1:5" ht="27.9" customHeight="1" x14ac:dyDescent="0.3">
      <c r="A27" s="81" t="s">
        <v>1628</v>
      </c>
      <c r="B27" s="82">
        <f>1.05</f>
        <v>1.05</v>
      </c>
      <c r="E27" s="84"/>
    </row>
    <row r="28" spans="1:5" x14ac:dyDescent="0.3">
      <c r="B28" s="75">
        <v>1.0900000000000001</v>
      </c>
      <c r="C28" s="75">
        <f>IF(SUM(C23:C27)=0,1,0)</f>
        <v>0</v>
      </c>
      <c r="E28" s="84"/>
    </row>
    <row r="29" spans="1:5" x14ac:dyDescent="0.3">
      <c r="E29" s="84"/>
    </row>
    <row r="30" spans="1:5" x14ac:dyDescent="0.3">
      <c r="E30" s="84"/>
    </row>
    <row r="31" spans="1:5" x14ac:dyDescent="0.3">
      <c r="E31" s="84"/>
    </row>
    <row r="32" spans="1:5" x14ac:dyDescent="0.3">
      <c r="E32" s="84"/>
    </row>
    <row r="33" spans="5:5" x14ac:dyDescent="0.3">
      <c r="E33" s="84"/>
    </row>
    <row r="34" spans="5:5" x14ac:dyDescent="0.3">
      <c r="E34" s="84"/>
    </row>
    <row r="35" spans="5:5" x14ac:dyDescent="0.3">
      <c r="E35" s="84"/>
    </row>
    <row r="36" spans="5:5" x14ac:dyDescent="0.3">
      <c r="E36" s="84"/>
    </row>
    <row r="37" spans="5:5" x14ac:dyDescent="0.3">
      <c r="E37" s="84"/>
    </row>
    <row r="38" spans="5:5" x14ac:dyDescent="0.3">
      <c r="E38" s="84"/>
    </row>
    <row r="39" spans="5:5" x14ac:dyDescent="0.3">
      <c r="E39" s="84"/>
    </row>
    <row r="40" spans="5:5" x14ac:dyDescent="0.3">
      <c r="E40" s="84"/>
    </row>
    <row r="41" spans="5:5" x14ac:dyDescent="0.3">
      <c r="E41" s="84"/>
    </row>
    <row r="42" spans="5:5" x14ac:dyDescent="0.3">
      <c r="E42" s="84"/>
    </row>
    <row r="43" spans="5:5" x14ac:dyDescent="0.3">
      <c r="E43" s="84"/>
    </row>
    <row r="44" spans="5:5" x14ac:dyDescent="0.3">
      <c r="E44" s="84"/>
    </row>
    <row r="45" spans="5:5" x14ac:dyDescent="0.3">
      <c r="E45" s="84"/>
    </row>
    <row r="46" spans="5:5" x14ac:dyDescent="0.3">
      <c r="E46" s="84"/>
    </row>
    <row r="47" spans="5:5" x14ac:dyDescent="0.3">
      <c r="E47" s="84"/>
    </row>
    <row r="48" spans="5:5" x14ac:dyDescent="0.3">
      <c r="E48" s="84"/>
    </row>
    <row r="49" spans="5:5" x14ac:dyDescent="0.3">
      <c r="E49" s="84"/>
    </row>
    <row r="50" spans="5:5" x14ac:dyDescent="0.3">
      <c r="E50" s="84"/>
    </row>
    <row r="51" spans="5:5" x14ac:dyDescent="0.3">
      <c r="E51" s="84"/>
    </row>
    <row r="52" spans="5:5" x14ac:dyDescent="0.3">
      <c r="E52" s="84"/>
    </row>
    <row r="53" spans="5:5" x14ac:dyDescent="0.3">
      <c r="E53" s="84"/>
    </row>
    <row r="54" spans="5:5" x14ac:dyDescent="0.3">
      <c r="E54" s="84"/>
    </row>
    <row r="55" spans="5:5" x14ac:dyDescent="0.3">
      <c r="E55" s="84"/>
    </row>
    <row r="56" spans="5:5" x14ac:dyDescent="0.3">
      <c r="E56" s="84"/>
    </row>
    <row r="57" spans="5:5" x14ac:dyDescent="0.3">
      <c r="E57" s="84"/>
    </row>
    <row r="58" spans="5:5" x14ac:dyDescent="0.3">
      <c r="E58" s="84"/>
    </row>
    <row r="59" spans="5:5" x14ac:dyDescent="0.3">
      <c r="E59" s="84"/>
    </row>
    <row r="60" spans="5:5" x14ac:dyDescent="0.3">
      <c r="E60" s="84"/>
    </row>
    <row r="61" spans="5:5" x14ac:dyDescent="0.3">
      <c r="E61" s="84"/>
    </row>
    <row r="62" spans="5:5" x14ac:dyDescent="0.3">
      <c r="E62" s="84"/>
    </row>
    <row r="63" spans="5:5" x14ac:dyDescent="0.3">
      <c r="E63" s="84"/>
    </row>
    <row r="64" spans="5:5" x14ac:dyDescent="0.3">
      <c r="E64" s="84"/>
    </row>
    <row r="65" spans="5:5" x14ac:dyDescent="0.3">
      <c r="E65" s="84"/>
    </row>
    <row r="66" spans="5:5" x14ac:dyDescent="0.3">
      <c r="E66" s="84"/>
    </row>
    <row r="67" spans="5:5" x14ac:dyDescent="0.3">
      <c r="E67" s="84"/>
    </row>
    <row r="68" spans="5:5" x14ac:dyDescent="0.3">
      <c r="E68" s="84"/>
    </row>
    <row r="69" spans="5:5" x14ac:dyDescent="0.3">
      <c r="E69" s="84"/>
    </row>
    <row r="70" spans="5:5" x14ac:dyDescent="0.3">
      <c r="E70" s="84"/>
    </row>
    <row r="71" spans="5:5" x14ac:dyDescent="0.3">
      <c r="E71" s="84"/>
    </row>
    <row r="72" spans="5:5" x14ac:dyDescent="0.3">
      <c r="E72" s="84"/>
    </row>
    <row r="73" spans="5:5" x14ac:dyDescent="0.3">
      <c r="E73" s="84"/>
    </row>
    <row r="74" spans="5:5" x14ac:dyDescent="0.3">
      <c r="E74" s="84"/>
    </row>
    <row r="75" spans="5:5" x14ac:dyDescent="0.3">
      <c r="E75" s="84"/>
    </row>
    <row r="76" spans="5:5" x14ac:dyDescent="0.3">
      <c r="E76" s="84"/>
    </row>
    <row r="77" spans="5:5" x14ac:dyDescent="0.3">
      <c r="E77" s="84"/>
    </row>
    <row r="78" spans="5:5" x14ac:dyDescent="0.3">
      <c r="E78" s="84"/>
    </row>
    <row r="79" spans="5:5" x14ac:dyDescent="0.3">
      <c r="E79" s="84"/>
    </row>
    <row r="80" spans="5:5" x14ac:dyDescent="0.3">
      <c r="E80" s="84"/>
    </row>
    <row r="81" spans="5:5" x14ac:dyDescent="0.3">
      <c r="E81" s="84"/>
    </row>
    <row r="82" spans="5:5" x14ac:dyDescent="0.3">
      <c r="E82" s="84"/>
    </row>
    <row r="83" spans="5:5" x14ac:dyDescent="0.3">
      <c r="E83" s="84"/>
    </row>
    <row r="84" spans="5:5" x14ac:dyDescent="0.3">
      <c r="E84" s="84"/>
    </row>
    <row r="85" spans="5:5" x14ac:dyDescent="0.3">
      <c r="E85" s="84"/>
    </row>
    <row r="86" spans="5:5" x14ac:dyDescent="0.3">
      <c r="E86" s="84"/>
    </row>
    <row r="87" spans="5:5" x14ac:dyDescent="0.3">
      <c r="E87" s="84"/>
    </row>
    <row r="88" spans="5:5" x14ac:dyDescent="0.3">
      <c r="E88" s="84"/>
    </row>
    <row r="89" spans="5:5" x14ac:dyDescent="0.3">
      <c r="E89" s="84"/>
    </row>
    <row r="90" spans="5:5" x14ac:dyDescent="0.3">
      <c r="E90" s="84"/>
    </row>
    <row r="91" spans="5:5" x14ac:dyDescent="0.3">
      <c r="E91" s="84"/>
    </row>
    <row r="92" spans="5:5" x14ac:dyDescent="0.3">
      <c r="E92" s="84"/>
    </row>
    <row r="93" spans="5:5" x14ac:dyDescent="0.3">
      <c r="E93" s="84"/>
    </row>
    <row r="94" spans="5:5" x14ac:dyDescent="0.3">
      <c r="E94" s="84"/>
    </row>
    <row r="95" spans="5:5" x14ac:dyDescent="0.3">
      <c r="E95" s="84"/>
    </row>
    <row r="96" spans="5:5" x14ac:dyDescent="0.3">
      <c r="E96" s="84"/>
    </row>
    <row r="97" spans="5:5" x14ac:dyDescent="0.3">
      <c r="E97" s="84"/>
    </row>
    <row r="98" spans="5:5" x14ac:dyDescent="0.3">
      <c r="E98" s="84"/>
    </row>
    <row r="99" spans="5:5" x14ac:dyDescent="0.3">
      <c r="E99" s="84"/>
    </row>
    <row r="100" spans="5:5" x14ac:dyDescent="0.3">
      <c r="E100" s="84"/>
    </row>
    <row r="101" spans="5:5" x14ac:dyDescent="0.3">
      <c r="E101" s="84"/>
    </row>
    <row r="102" spans="5:5" x14ac:dyDescent="0.3">
      <c r="E102" s="84"/>
    </row>
    <row r="103" spans="5:5" x14ac:dyDescent="0.3">
      <c r="E103" s="84"/>
    </row>
    <row r="104" spans="5:5" x14ac:dyDescent="0.3">
      <c r="E104" s="84"/>
    </row>
    <row r="105" spans="5:5" x14ac:dyDescent="0.3">
      <c r="E105" s="84"/>
    </row>
    <row r="106" spans="5:5" x14ac:dyDescent="0.3">
      <c r="E106" s="84"/>
    </row>
    <row r="107" spans="5:5" x14ac:dyDescent="0.3">
      <c r="E107" s="84"/>
    </row>
    <row r="108" spans="5:5" x14ac:dyDescent="0.3">
      <c r="E108" s="84"/>
    </row>
    <row r="109" spans="5:5" x14ac:dyDescent="0.3">
      <c r="E109" s="84"/>
    </row>
    <row r="110" spans="5:5" x14ac:dyDescent="0.3">
      <c r="E110" s="84"/>
    </row>
    <row r="111" spans="5:5" x14ac:dyDescent="0.3">
      <c r="E111" s="84"/>
    </row>
    <row r="112" spans="5:5" x14ac:dyDescent="0.3">
      <c r="E112" s="84"/>
    </row>
    <row r="113" spans="5:5" x14ac:dyDescent="0.3">
      <c r="E113" s="84"/>
    </row>
    <row r="114" spans="5:5" x14ac:dyDescent="0.3">
      <c r="E114" s="84"/>
    </row>
    <row r="115" spans="5:5" x14ac:dyDescent="0.3">
      <c r="E115" s="84"/>
    </row>
    <row r="116" spans="5:5" x14ac:dyDescent="0.3">
      <c r="E116" s="84"/>
    </row>
    <row r="117" spans="5:5" x14ac:dyDescent="0.3">
      <c r="E117" s="84"/>
    </row>
    <row r="118" spans="5:5" x14ac:dyDescent="0.3">
      <c r="E118" s="84"/>
    </row>
    <row r="119" spans="5:5" x14ac:dyDescent="0.3">
      <c r="E119" s="84"/>
    </row>
    <row r="120" spans="5:5" x14ac:dyDescent="0.3">
      <c r="E120" s="84"/>
    </row>
    <row r="121" spans="5:5" x14ac:dyDescent="0.3">
      <c r="E121" s="84"/>
    </row>
    <row r="122" spans="5:5" x14ac:dyDescent="0.3">
      <c r="E122" s="84"/>
    </row>
    <row r="123" spans="5:5" x14ac:dyDescent="0.3">
      <c r="E123" s="84"/>
    </row>
    <row r="124" spans="5:5" x14ac:dyDescent="0.3">
      <c r="E124" s="84"/>
    </row>
    <row r="125" spans="5:5" x14ac:dyDescent="0.3">
      <c r="E125" s="84"/>
    </row>
    <row r="126" spans="5:5" x14ac:dyDescent="0.3">
      <c r="E126" s="84"/>
    </row>
    <row r="127" spans="5:5" x14ac:dyDescent="0.3">
      <c r="E127" s="84"/>
    </row>
    <row r="128" spans="5:5" x14ac:dyDescent="0.3">
      <c r="E128" s="84"/>
    </row>
    <row r="129" spans="5:5" x14ac:dyDescent="0.3">
      <c r="E129" s="84"/>
    </row>
    <row r="130" spans="5:5" x14ac:dyDescent="0.3">
      <c r="E130" s="84"/>
    </row>
    <row r="131" spans="5:5" x14ac:dyDescent="0.3">
      <c r="E131" s="84"/>
    </row>
    <row r="132" spans="5:5" x14ac:dyDescent="0.3">
      <c r="E132" s="84"/>
    </row>
    <row r="133" spans="5:5" x14ac:dyDescent="0.3">
      <c r="E133" s="84"/>
    </row>
    <row r="134" spans="5:5" x14ac:dyDescent="0.3">
      <c r="E134" s="84"/>
    </row>
    <row r="135" spans="5:5" x14ac:dyDescent="0.3">
      <c r="E135" s="84"/>
    </row>
    <row r="136" spans="5:5" x14ac:dyDescent="0.3">
      <c r="E136" s="84"/>
    </row>
    <row r="137" spans="5:5" x14ac:dyDescent="0.3">
      <c r="E137" s="84"/>
    </row>
    <row r="138" spans="5:5" x14ac:dyDescent="0.3">
      <c r="E138" s="84"/>
    </row>
    <row r="139" spans="5:5" x14ac:dyDescent="0.3">
      <c r="E139" s="84"/>
    </row>
    <row r="140" spans="5:5" x14ac:dyDescent="0.3">
      <c r="E140" s="84"/>
    </row>
    <row r="141" spans="5:5" x14ac:dyDescent="0.3">
      <c r="E141" s="84"/>
    </row>
    <row r="142" spans="5:5" x14ac:dyDescent="0.3">
      <c r="E142" s="84"/>
    </row>
    <row r="143" spans="5:5" x14ac:dyDescent="0.3">
      <c r="E143" s="84"/>
    </row>
    <row r="144" spans="5:5" x14ac:dyDescent="0.3">
      <c r="E144" s="84"/>
    </row>
    <row r="145" spans="5:5" x14ac:dyDescent="0.3">
      <c r="E145" s="84"/>
    </row>
    <row r="146" spans="5:5" x14ac:dyDescent="0.3">
      <c r="E146" s="84"/>
    </row>
    <row r="147" spans="5:5" x14ac:dyDescent="0.3">
      <c r="E147" s="84"/>
    </row>
    <row r="148" spans="5:5" x14ac:dyDescent="0.3">
      <c r="E148" s="84"/>
    </row>
    <row r="149" spans="5:5" x14ac:dyDescent="0.3">
      <c r="E149" s="84"/>
    </row>
    <row r="150" spans="5:5" x14ac:dyDescent="0.3">
      <c r="E150" s="84"/>
    </row>
    <row r="151" spans="5:5" x14ac:dyDescent="0.3">
      <c r="E151" s="84"/>
    </row>
    <row r="152" spans="5:5" x14ac:dyDescent="0.3">
      <c r="E152" s="84"/>
    </row>
    <row r="153" spans="5:5" x14ac:dyDescent="0.3">
      <c r="E153" s="84"/>
    </row>
    <row r="154" spans="5:5" x14ac:dyDescent="0.3">
      <c r="E154" s="84"/>
    </row>
    <row r="155" spans="5:5" x14ac:dyDescent="0.3">
      <c r="E155" s="84"/>
    </row>
    <row r="156" spans="5:5" x14ac:dyDescent="0.3">
      <c r="E156" s="84"/>
    </row>
    <row r="157" spans="5:5" x14ac:dyDescent="0.3">
      <c r="E157" s="84"/>
    </row>
    <row r="158" spans="5:5" x14ac:dyDescent="0.3">
      <c r="E158" s="84"/>
    </row>
    <row r="159" spans="5:5" x14ac:dyDescent="0.3">
      <c r="E159" s="84"/>
    </row>
    <row r="160" spans="5:5" x14ac:dyDescent="0.3">
      <c r="E160" s="84"/>
    </row>
    <row r="161" spans="5:5" x14ac:dyDescent="0.3">
      <c r="E161" s="84"/>
    </row>
    <row r="162" spans="5:5" x14ac:dyDescent="0.3">
      <c r="E162" s="84"/>
    </row>
    <row r="163" spans="5:5" x14ac:dyDescent="0.3">
      <c r="E163" s="84"/>
    </row>
    <row r="164" spans="5:5" x14ac:dyDescent="0.3">
      <c r="E164" s="84"/>
    </row>
    <row r="165" spans="5:5" x14ac:dyDescent="0.3">
      <c r="E165" s="84"/>
    </row>
    <row r="166" spans="5:5" x14ac:dyDescent="0.3">
      <c r="E166" s="84"/>
    </row>
    <row r="167" spans="5:5" x14ac:dyDescent="0.3">
      <c r="E167" s="84"/>
    </row>
    <row r="168" spans="5:5" x14ac:dyDescent="0.3">
      <c r="E168" s="84"/>
    </row>
    <row r="169" spans="5:5" x14ac:dyDescent="0.3">
      <c r="E169" s="84"/>
    </row>
    <row r="170" spans="5:5" x14ac:dyDescent="0.3">
      <c r="E170" s="84"/>
    </row>
    <row r="171" spans="5:5" x14ac:dyDescent="0.3">
      <c r="E171" s="84"/>
    </row>
    <row r="172" spans="5:5" x14ac:dyDescent="0.3">
      <c r="E172" s="84"/>
    </row>
    <row r="173" spans="5:5" x14ac:dyDescent="0.3">
      <c r="E173" s="84"/>
    </row>
    <row r="174" spans="5:5" x14ac:dyDescent="0.3">
      <c r="E174" s="84"/>
    </row>
    <row r="175" spans="5:5" x14ac:dyDescent="0.3">
      <c r="E175" s="84"/>
    </row>
    <row r="176" spans="5:5" x14ac:dyDescent="0.3">
      <c r="E176" s="84"/>
    </row>
    <row r="177" spans="5:5" x14ac:dyDescent="0.3">
      <c r="E177" s="84"/>
    </row>
    <row r="178" spans="5:5" x14ac:dyDescent="0.3">
      <c r="E178" s="84"/>
    </row>
    <row r="179" spans="5:5" x14ac:dyDescent="0.3">
      <c r="E179" s="84"/>
    </row>
    <row r="180" spans="5:5" x14ac:dyDescent="0.3">
      <c r="E180" s="84"/>
    </row>
    <row r="181" spans="5:5" x14ac:dyDescent="0.3">
      <c r="E181" s="84"/>
    </row>
    <row r="182" spans="5:5" x14ac:dyDescent="0.3">
      <c r="E182" s="84"/>
    </row>
    <row r="183" spans="5:5" x14ac:dyDescent="0.3">
      <c r="E183" s="84"/>
    </row>
    <row r="184" spans="5:5" x14ac:dyDescent="0.3">
      <c r="E184" s="84"/>
    </row>
    <row r="185" spans="5:5" x14ac:dyDescent="0.3">
      <c r="E185" s="84"/>
    </row>
    <row r="186" spans="5:5" x14ac:dyDescent="0.3">
      <c r="E186" s="84"/>
    </row>
    <row r="187" spans="5:5" x14ac:dyDescent="0.3">
      <c r="E187" s="84"/>
    </row>
    <row r="188" spans="5:5" x14ac:dyDescent="0.3">
      <c r="E188" s="84"/>
    </row>
    <row r="189" spans="5:5" x14ac:dyDescent="0.3">
      <c r="E189" s="84"/>
    </row>
    <row r="190" spans="5:5" x14ac:dyDescent="0.3">
      <c r="E190" s="84"/>
    </row>
    <row r="191" spans="5:5" x14ac:dyDescent="0.3">
      <c r="E191" s="84"/>
    </row>
    <row r="192" spans="5:5" x14ac:dyDescent="0.3">
      <c r="E192" s="84"/>
    </row>
    <row r="193" spans="5:5" x14ac:dyDescent="0.3">
      <c r="E193" s="84"/>
    </row>
    <row r="194" spans="5:5" x14ac:dyDescent="0.3">
      <c r="E194" s="84"/>
    </row>
    <row r="195" spans="5:5" x14ac:dyDescent="0.3">
      <c r="E195" s="84"/>
    </row>
    <row r="196" spans="5:5" x14ac:dyDescent="0.3">
      <c r="E196" s="84"/>
    </row>
    <row r="197" spans="5:5" x14ac:dyDescent="0.3">
      <c r="E197" s="84"/>
    </row>
    <row r="198" spans="5:5" x14ac:dyDescent="0.3">
      <c r="E198" s="84"/>
    </row>
    <row r="199" spans="5:5" x14ac:dyDescent="0.3">
      <c r="E199" s="84"/>
    </row>
    <row r="200" spans="5:5" x14ac:dyDescent="0.3">
      <c r="E200" s="84"/>
    </row>
    <row r="201" spans="5:5" x14ac:dyDescent="0.3">
      <c r="E201" s="84"/>
    </row>
    <row r="202" spans="5:5" x14ac:dyDescent="0.3">
      <c r="E202" s="84"/>
    </row>
    <row r="203" spans="5:5" x14ac:dyDescent="0.3">
      <c r="E203" s="84"/>
    </row>
    <row r="204" spans="5:5" x14ac:dyDescent="0.3">
      <c r="E204" s="84"/>
    </row>
    <row r="205" spans="5:5" x14ac:dyDescent="0.3">
      <c r="E205" s="84"/>
    </row>
    <row r="206" spans="5:5" x14ac:dyDescent="0.3">
      <c r="E206" s="84"/>
    </row>
    <row r="207" spans="5:5" x14ac:dyDescent="0.3">
      <c r="E207" s="84"/>
    </row>
    <row r="208" spans="5:5" x14ac:dyDescent="0.3">
      <c r="E208" s="84"/>
    </row>
    <row r="209" spans="5:5" x14ac:dyDescent="0.3">
      <c r="E209" s="84"/>
    </row>
    <row r="210" spans="5:5" x14ac:dyDescent="0.3">
      <c r="E210" s="84"/>
    </row>
    <row r="211" spans="5:5" x14ac:dyDescent="0.3">
      <c r="E211" s="84"/>
    </row>
    <row r="212" spans="5:5" x14ac:dyDescent="0.3">
      <c r="E212" s="84"/>
    </row>
    <row r="213" spans="5:5" x14ac:dyDescent="0.3">
      <c r="E213" s="84"/>
    </row>
    <row r="214" spans="5:5" x14ac:dyDescent="0.3">
      <c r="E214" s="84"/>
    </row>
    <row r="215" spans="5:5" x14ac:dyDescent="0.3">
      <c r="E215" s="84"/>
    </row>
    <row r="216" spans="5:5" x14ac:dyDescent="0.3">
      <c r="E216" s="84"/>
    </row>
    <row r="217" spans="5:5" x14ac:dyDescent="0.3">
      <c r="E217" s="84"/>
    </row>
    <row r="218" spans="5:5" x14ac:dyDescent="0.3">
      <c r="E218" s="84"/>
    </row>
    <row r="219" spans="5:5" x14ac:dyDescent="0.3">
      <c r="E219" s="84"/>
    </row>
    <row r="220" spans="5:5" x14ac:dyDescent="0.3">
      <c r="E220" s="84"/>
    </row>
    <row r="221" spans="5:5" x14ac:dyDescent="0.3">
      <c r="E221" s="84"/>
    </row>
    <row r="222" spans="5:5" x14ac:dyDescent="0.3">
      <c r="E222" s="84"/>
    </row>
    <row r="223" spans="5:5" x14ac:dyDescent="0.3">
      <c r="E223" s="84"/>
    </row>
    <row r="224" spans="5:5" x14ac:dyDescent="0.3">
      <c r="E224" s="84"/>
    </row>
    <row r="225" spans="5:5" x14ac:dyDescent="0.3">
      <c r="E225" s="84"/>
    </row>
    <row r="226" spans="5:5" x14ac:dyDescent="0.3">
      <c r="E226" s="84"/>
    </row>
    <row r="227" spans="5:5" x14ac:dyDescent="0.3">
      <c r="E227" s="84"/>
    </row>
    <row r="228" spans="5:5" x14ac:dyDescent="0.3">
      <c r="E228" s="84"/>
    </row>
    <row r="229" spans="5:5" x14ac:dyDescent="0.3">
      <c r="E229" s="84"/>
    </row>
    <row r="230" spans="5:5" x14ac:dyDescent="0.3">
      <c r="E230" s="84"/>
    </row>
    <row r="231" spans="5:5" x14ac:dyDescent="0.3">
      <c r="E231" s="84"/>
    </row>
    <row r="232" spans="5:5" x14ac:dyDescent="0.3">
      <c r="E232" s="84"/>
    </row>
    <row r="233" spans="5:5" x14ac:dyDescent="0.3">
      <c r="E233" s="84"/>
    </row>
    <row r="234" spans="5:5" x14ac:dyDescent="0.3">
      <c r="E234" s="84"/>
    </row>
    <row r="235" spans="5:5" x14ac:dyDescent="0.3">
      <c r="E235" s="84"/>
    </row>
    <row r="236" spans="5:5" x14ac:dyDescent="0.3">
      <c r="E236" s="84"/>
    </row>
    <row r="237" spans="5:5" x14ac:dyDescent="0.3">
      <c r="E237" s="84"/>
    </row>
    <row r="238" spans="5:5" x14ac:dyDescent="0.3">
      <c r="E238" s="84"/>
    </row>
    <row r="239" spans="5:5" x14ac:dyDescent="0.3">
      <c r="E239" s="84"/>
    </row>
    <row r="240" spans="5:5" x14ac:dyDescent="0.3">
      <c r="E240" s="84"/>
    </row>
    <row r="241" spans="5:5" x14ac:dyDescent="0.3">
      <c r="E241" s="84"/>
    </row>
    <row r="242" spans="5:5" x14ac:dyDescent="0.3">
      <c r="E242" s="84"/>
    </row>
    <row r="243" spans="5:5" x14ac:dyDescent="0.3">
      <c r="E243" s="84"/>
    </row>
    <row r="244" spans="5:5" x14ac:dyDescent="0.3">
      <c r="E244" s="84"/>
    </row>
    <row r="245" spans="5:5" x14ac:dyDescent="0.3">
      <c r="E245" s="84"/>
    </row>
    <row r="246" spans="5:5" x14ac:dyDescent="0.3">
      <c r="E246" s="84"/>
    </row>
    <row r="247" spans="5:5" x14ac:dyDescent="0.3">
      <c r="E247" s="84"/>
    </row>
    <row r="248" spans="5:5" x14ac:dyDescent="0.3">
      <c r="E248" s="84"/>
    </row>
    <row r="249" spans="5:5" x14ac:dyDescent="0.3">
      <c r="E249" s="84"/>
    </row>
    <row r="250" spans="5:5" x14ac:dyDescent="0.3">
      <c r="E250" s="84"/>
    </row>
    <row r="251" spans="5:5" x14ac:dyDescent="0.3">
      <c r="E251" s="84"/>
    </row>
    <row r="252" spans="5:5" x14ac:dyDescent="0.3">
      <c r="E252" s="84"/>
    </row>
    <row r="253" spans="5:5" x14ac:dyDescent="0.3">
      <c r="E253" s="84"/>
    </row>
    <row r="254" spans="5:5" x14ac:dyDescent="0.3">
      <c r="E254" s="84"/>
    </row>
    <row r="255" spans="5:5" x14ac:dyDescent="0.3">
      <c r="E255" s="84"/>
    </row>
    <row r="256" spans="5:5" x14ac:dyDescent="0.3">
      <c r="E256" s="84"/>
    </row>
    <row r="257" spans="5:5" x14ac:dyDescent="0.3">
      <c r="E257" s="84"/>
    </row>
    <row r="258" spans="5:5" x14ac:dyDescent="0.3">
      <c r="E258" s="84"/>
    </row>
    <row r="259" spans="5:5" x14ac:dyDescent="0.3">
      <c r="E259" s="84"/>
    </row>
    <row r="260" spans="5:5" x14ac:dyDescent="0.3">
      <c r="E260" s="84"/>
    </row>
    <row r="261" spans="5:5" x14ac:dyDescent="0.3">
      <c r="E261" s="84"/>
    </row>
    <row r="262" spans="5:5" x14ac:dyDescent="0.3">
      <c r="E262" s="84"/>
    </row>
    <row r="263" spans="5:5" x14ac:dyDescent="0.3">
      <c r="E263" s="84"/>
    </row>
    <row r="264" spans="5:5" x14ac:dyDescent="0.3">
      <c r="E264" s="84"/>
    </row>
    <row r="265" spans="5:5" x14ac:dyDescent="0.3">
      <c r="E265" s="84"/>
    </row>
    <row r="266" spans="5:5" x14ac:dyDescent="0.3">
      <c r="E266" s="84"/>
    </row>
    <row r="267" spans="5:5" x14ac:dyDescent="0.3">
      <c r="E267" s="84"/>
    </row>
    <row r="268" spans="5:5" x14ac:dyDescent="0.3">
      <c r="E268" s="84"/>
    </row>
    <row r="269" spans="5:5" x14ac:dyDescent="0.3">
      <c r="E269" s="84"/>
    </row>
    <row r="270" spans="5:5" x14ac:dyDescent="0.3">
      <c r="E270" s="84"/>
    </row>
    <row r="271" spans="5:5" x14ac:dyDescent="0.3">
      <c r="E271" s="84"/>
    </row>
    <row r="272" spans="5:5" x14ac:dyDescent="0.3">
      <c r="E272" s="84"/>
    </row>
    <row r="273" spans="5:5" x14ac:dyDescent="0.3">
      <c r="E273" s="84"/>
    </row>
    <row r="274" spans="5:5" x14ac:dyDescent="0.3">
      <c r="E274" s="84"/>
    </row>
    <row r="275" spans="5:5" x14ac:dyDescent="0.3">
      <c r="E275" s="84"/>
    </row>
    <row r="276" spans="5:5" x14ac:dyDescent="0.3">
      <c r="E276" s="84"/>
    </row>
    <row r="277" spans="5:5" x14ac:dyDescent="0.3">
      <c r="E277" s="84"/>
    </row>
    <row r="278" spans="5:5" x14ac:dyDescent="0.3">
      <c r="E278" s="84"/>
    </row>
    <row r="279" spans="5:5" x14ac:dyDescent="0.3">
      <c r="E279" s="84"/>
    </row>
    <row r="280" spans="5:5" x14ac:dyDescent="0.3">
      <c r="E280" s="84"/>
    </row>
    <row r="281" spans="5:5" x14ac:dyDescent="0.3">
      <c r="E281" s="84"/>
    </row>
    <row r="282" spans="5:5" x14ac:dyDescent="0.3">
      <c r="E282" s="84"/>
    </row>
    <row r="283" spans="5:5" x14ac:dyDescent="0.3">
      <c r="E283" s="84"/>
    </row>
    <row r="284" spans="5:5" x14ac:dyDescent="0.3">
      <c r="E284" s="84"/>
    </row>
    <row r="285" spans="5:5" x14ac:dyDescent="0.3">
      <c r="E285" s="84"/>
    </row>
    <row r="286" spans="5:5" x14ac:dyDescent="0.3">
      <c r="E286" s="84"/>
    </row>
    <row r="287" spans="5:5" x14ac:dyDescent="0.3">
      <c r="E287" s="84"/>
    </row>
    <row r="288" spans="5:5" x14ac:dyDescent="0.3">
      <c r="E288" s="84"/>
    </row>
    <row r="289" spans="5:5" x14ac:dyDescent="0.3">
      <c r="E289" s="84"/>
    </row>
    <row r="290" spans="5:5" x14ac:dyDescent="0.3">
      <c r="E290" s="84"/>
    </row>
    <row r="291" spans="5:5" x14ac:dyDescent="0.3">
      <c r="E291" s="84"/>
    </row>
    <row r="292" spans="5:5" x14ac:dyDescent="0.3">
      <c r="E292" s="84"/>
    </row>
    <row r="293" spans="5:5" x14ac:dyDescent="0.3">
      <c r="E293" s="84"/>
    </row>
    <row r="294" spans="5:5" x14ac:dyDescent="0.3">
      <c r="E294" s="84"/>
    </row>
    <row r="295" spans="5:5" x14ac:dyDescent="0.3">
      <c r="E295" s="84"/>
    </row>
    <row r="296" spans="5:5" x14ac:dyDescent="0.3">
      <c r="E296" s="84"/>
    </row>
    <row r="297" spans="5:5" x14ac:dyDescent="0.3">
      <c r="E297" s="84"/>
    </row>
    <row r="298" spans="5:5" x14ac:dyDescent="0.3">
      <c r="E298" s="84"/>
    </row>
    <row r="299" spans="5:5" x14ac:dyDescent="0.3">
      <c r="E299" s="84"/>
    </row>
    <row r="300" spans="5:5" x14ac:dyDescent="0.3">
      <c r="E300" s="84"/>
    </row>
    <row r="301" spans="5:5" x14ac:dyDescent="0.3">
      <c r="E301" s="84"/>
    </row>
    <row r="302" spans="5:5" x14ac:dyDescent="0.3">
      <c r="E302" s="84"/>
    </row>
    <row r="303" spans="5:5" x14ac:dyDescent="0.3">
      <c r="E303" s="84"/>
    </row>
    <row r="304" spans="5:5" x14ac:dyDescent="0.3">
      <c r="E304" s="84"/>
    </row>
    <row r="305" spans="5:5" x14ac:dyDescent="0.3">
      <c r="E305" s="84"/>
    </row>
    <row r="306" spans="5:5" x14ac:dyDescent="0.3">
      <c r="E306" s="84"/>
    </row>
  </sheetData>
  <sheetProtection algorithmName="SHA-512" hashValue="TxrxrXqLGyNU6hMSYUJQDw+nNJZuS5ONBiUg8Gvvi4wGVVgh+aBTcrldKRMf+l2FU6Nq0IMWR1VTsQnudSLp8w==" saltValue="r9CkGVjb3txm8D2qSoSRe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75" customWidth="1"/>
    <col min="2" max="2" width="15.5546875" style="75" customWidth="1"/>
    <col min="3" max="3" width="17.88671875" style="75" customWidth="1"/>
    <col min="4" max="4" width="20.44140625" style="75" customWidth="1"/>
    <col min="5" max="5" width="8.5546875" style="75" customWidth="1"/>
    <col min="6" max="6" width="10.44140625" style="75" customWidth="1"/>
    <col min="7" max="7" width="9.109375" style="75"/>
    <col min="8" max="8" width="11" style="75" customWidth="1"/>
    <col min="9" max="9" width="11.44140625" style="75" customWidth="1"/>
    <col min="10" max="10" width="10.6640625" style="75" customWidth="1"/>
    <col min="11" max="11" width="9.33203125" style="75" customWidth="1"/>
    <col min="12" max="16384" width="9.109375" style="75"/>
  </cols>
  <sheetData>
    <row r="1" spans="1:61" ht="62.25" customHeight="1" x14ac:dyDescent="0.55000000000000004">
      <c r="A1" s="1763"/>
      <c r="B1" s="1763"/>
      <c r="C1" s="1763"/>
      <c r="D1" s="1763"/>
      <c r="E1" s="1763"/>
      <c r="F1" s="1763"/>
      <c r="G1" s="1763"/>
      <c r="H1" s="1763"/>
      <c r="I1" s="1763"/>
      <c r="J1" s="1763"/>
      <c r="K1" s="1763"/>
      <c r="L1" s="1763"/>
      <c r="M1" s="1763"/>
      <c r="N1" s="1763"/>
      <c r="O1" s="1763"/>
      <c r="P1" s="1763"/>
      <c r="Q1" s="1763"/>
      <c r="R1" s="1763"/>
      <c r="S1" s="1763"/>
      <c r="T1" s="1763"/>
      <c r="U1" s="1763"/>
      <c r="V1" s="1763"/>
      <c r="W1" s="1763"/>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3">
      <c r="A2" s="90"/>
      <c r="B2" s="90"/>
      <c r="C2" s="91"/>
      <c r="D2" s="92"/>
      <c r="E2" s="93"/>
      <c r="F2" s="94"/>
    </row>
    <row r="3" spans="1:61" x14ac:dyDescent="0.3">
      <c r="A3" s="75" t="s">
        <v>822</v>
      </c>
      <c r="B3" s="75">
        <f>40*12</f>
        <v>480</v>
      </c>
    </row>
    <row r="4" spans="1:61" ht="42.9" customHeight="1" x14ac:dyDescent="0.3">
      <c r="A4" s="95"/>
      <c r="B4" s="95"/>
      <c r="C4" s="95"/>
      <c r="D4" s="75" t="s">
        <v>1342</v>
      </c>
      <c r="F4" s="75" t="s">
        <v>1387</v>
      </c>
    </row>
    <row r="5" spans="1:61" x14ac:dyDescent="0.3">
      <c r="A5" s="95"/>
      <c r="B5" s="96" t="s">
        <v>977</v>
      </c>
      <c r="C5" s="95">
        <v>0.15</v>
      </c>
      <c r="D5" s="75">
        <v>11</v>
      </c>
    </row>
    <row r="6" spans="1:61" x14ac:dyDescent="0.3">
      <c r="A6" s="95"/>
      <c r="B6" s="96" t="s">
        <v>1318</v>
      </c>
      <c r="C6" s="95">
        <v>0.22</v>
      </c>
      <c r="D6" s="75">
        <v>50</v>
      </c>
      <c r="F6" s="97">
        <f>$D$5/D6</f>
        <v>0.22</v>
      </c>
    </row>
    <row r="7" spans="1:61" x14ac:dyDescent="0.3">
      <c r="A7" s="95"/>
      <c r="B7" s="96" t="s">
        <v>978</v>
      </c>
      <c r="C7" s="95">
        <v>0.22</v>
      </c>
      <c r="D7" s="75">
        <v>53.3</v>
      </c>
      <c r="F7" s="97">
        <f>$D$5/D7</f>
        <v>0.20637898686679176</v>
      </c>
    </row>
    <row r="8" spans="1:61" x14ac:dyDescent="0.3">
      <c r="A8" s="95"/>
      <c r="B8" s="96" t="s">
        <v>979</v>
      </c>
      <c r="C8" s="98">
        <v>0.57999999999999996</v>
      </c>
      <c r="D8" s="75">
        <v>78</v>
      </c>
      <c r="F8" s="97">
        <f>$D$5/D8</f>
        <v>0.14102564102564102</v>
      </c>
    </row>
    <row r="9" spans="1:61" ht="32.25" customHeight="1" x14ac:dyDescent="0.3">
      <c r="A9" s="95"/>
      <c r="B9" s="96" t="s">
        <v>461</v>
      </c>
      <c r="C9" s="95">
        <v>0.15</v>
      </c>
      <c r="D9" s="75">
        <v>11</v>
      </c>
      <c r="F9" s="97">
        <v>1</v>
      </c>
    </row>
    <row r="10" spans="1:61" ht="24.75" customHeight="1" x14ac:dyDescent="0.3">
      <c r="A10" s="95"/>
      <c r="B10" s="96" t="s">
        <v>980</v>
      </c>
      <c r="C10" s="95"/>
      <c r="D10" s="75">
        <v>16</v>
      </c>
      <c r="E10" s="75" t="s">
        <v>1343</v>
      </c>
      <c r="F10" s="97">
        <f>$D$5/D10</f>
        <v>0.6875</v>
      </c>
    </row>
    <row r="11" spans="1:61" x14ac:dyDescent="0.3">
      <c r="A11" s="95"/>
      <c r="B11" s="95"/>
      <c r="C11" s="95"/>
    </row>
    <row r="12" spans="1:61" x14ac:dyDescent="0.3">
      <c r="A12" s="99"/>
      <c r="B12" s="95"/>
      <c r="C12" s="95"/>
    </row>
    <row r="13" spans="1:61" ht="28.5" customHeight="1" x14ac:dyDescent="0.3"/>
    <row r="14" spans="1:61" ht="43.5" customHeight="1" x14ac:dyDescent="0.3">
      <c r="B14" s="99"/>
    </row>
    <row r="15" spans="1:61" ht="13.5" customHeight="1" x14ac:dyDescent="0.3">
      <c r="A15" s="100"/>
    </row>
    <row r="16" spans="1:61" ht="13.5" customHeight="1" x14ac:dyDescent="0.3">
      <c r="A16" s="100"/>
      <c r="B16" s="100"/>
      <c r="C16" s="100"/>
      <c r="D16" s="100"/>
      <c r="E16" s="100"/>
      <c r="F16" s="100"/>
    </row>
    <row r="17" spans="1:6" ht="13.5" customHeight="1" x14ac:dyDescent="0.3">
      <c r="A17" s="101" t="s">
        <v>975</v>
      </c>
      <c r="B17" s="100" t="s">
        <v>1494</v>
      </c>
      <c r="D17" s="100"/>
      <c r="E17" s="100"/>
      <c r="F17" s="100"/>
    </row>
    <row r="18" spans="1:6" ht="13.5" customHeight="1" x14ac:dyDescent="0.3">
      <c r="A18" s="101" t="s">
        <v>984</v>
      </c>
      <c r="B18" s="102">
        <f>'Ввод исходных данных'!G131*'Ввод исходных данных'!H131*'Ввод исходных данных'!D131/1000</f>
        <v>876</v>
      </c>
      <c r="C18" s="100"/>
      <c r="D18" s="100"/>
      <c r="E18" s="100"/>
      <c r="F18" s="100"/>
    </row>
    <row r="19" spans="1:6" ht="13.5" customHeight="1" x14ac:dyDescent="0.3">
      <c r="A19" s="101" t="s">
        <v>985</v>
      </c>
      <c r="B19" s="102">
        <f>'Ввод исходных данных'!G132*'Ввод исходных данных'!H132*'Ввод исходных данных'!D132/1000</f>
        <v>5781.6</v>
      </c>
      <c r="C19" s="100"/>
      <c r="D19" s="100"/>
      <c r="E19" s="100"/>
      <c r="F19" s="100"/>
    </row>
    <row r="20" spans="1:6" ht="13.5" customHeight="1" x14ac:dyDescent="0.3">
      <c r="A20" s="101" t="s">
        <v>1468</v>
      </c>
      <c r="B20" s="102">
        <f>'Ввод исходных данных'!G133*'Ввод исходных данных'!H133*'Ввод исходных данных'!D133/1000</f>
        <v>0</v>
      </c>
      <c r="C20" s="100"/>
      <c r="D20" s="100"/>
      <c r="E20" s="100"/>
      <c r="F20" s="100"/>
    </row>
    <row r="21" spans="1:6" ht="13.5" customHeight="1" x14ac:dyDescent="0.3">
      <c r="A21" s="101" t="s">
        <v>1469</v>
      </c>
      <c r="B21" s="103">
        <f>'Ввод исходных данных'!G134*'Ввод исходных данных'!H134*'Ввод исходных данных'!D134/1000</f>
        <v>54</v>
      </c>
      <c r="C21" s="100"/>
      <c r="D21" s="100"/>
      <c r="E21" s="100"/>
      <c r="F21" s="100"/>
    </row>
    <row r="22" spans="1:6" ht="13.5" customHeight="1" x14ac:dyDescent="0.3">
      <c r="A22" s="100"/>
      <c r="B22" s="103">
        <f>'Ввод исходных данных'!G135*'Ввод исходных данных'!H135*'Ввод исходных данных'!D135/1000</f>
        <v>0</v>
      </c>
      <c r="C22" s="100"/>
      <c r="D22" s="100"/>
      <c r="E22" s="100"/>
      <c r="F22" s="100"/>
    </row>
    <row r="23" spans="1:6" ht="13.5" customHeight="1" x14ac:dyDescent="0.3">
      <c r="A23" s="100"/>
      <c r="B23" s="103"/>
      <c r="C23" s="100"/>
      <c r="D23" s="100"/>
      <c r="E23" s="100"/>
      <c r="F23" s="100"/>
    </row>
    <row r="24" spans="1:6" ht="15" customHeight="1" x14ac:dyDescent="0.3">
      <c r="A24" s="104" t="s">
        <v>824</v>
      </c>
      <c r="B24" s="100"/>
      <c r="C24" s="100"/>
      <c r="D24" s="100"/>
      <c r="E24" s="100"/>
      <c r="F24" s="100"/>
    </row>
    <row r="25" spans="1:6" ht="56.1" customHeight="1" x14ac:dyDescent="0.3">
      <c r="A25" s="77" t="s">
        <v>825</v>
      </c>
      <c r="C25" s="105"/>
      <c r="D25" s="105"/>
      <c r="E25" s="105"/>
    </row>
    <row r="26" spans="1:6" ht="15.6" customHeight="1" x14ac:dyDescent="0.3">
      <c r="A26" s="106" t="s">
        <v>829</v>
      </c>
      <c r="B26" s="107" t="s">
        <v>826</v>
      </c>
      <c r="C26" s="108" t="s">
        <v>827</v>
      </c>
      <c r="D26" s="108" t="s">
        <v>828</v>
      </c>
      <c r="E26" s="105"/>
    </row>
    <row r="27" spans="1:6" ht="16.5" customHeight="1" x14ac:dyDescent="0.3">
      <c r="A27" s="109" t="s">
        <v>829</v>
      </c>
      <c r="B27" s="110">
        <f>7.5</f>
        <v>7.5</v>
      </c>
      <c r="C27" s="111">
        <f>2200</f>
        <v>2200</v>
      </c>
      <c r="D27" s="111">
        <f>1460</f>
        <v>1460</v>
      </c>
      <c r="E27" s="105"/>
      <c r="F27" s="75">
        <f>B27*C27</f>
        <v>16500</v>
      </c>
    </row>
    <row r="28" spans="1:6" x14ac:dyDescent="0.3">
      <c r="A28" s="112" t="s">
        <v>830</v>
      </c>
      <c r="B28" s="113"/>
      <c r="C28" s="114"/>
      <c r="D28" s="115"/>
      <c r="E28" s="1876" t="s">
        <v>823</v>
      </c>
    </row>
    <row r="29" spans="1:6" x14ac:dyDescent="0.3">
      <c r="A29" s="112" t="s">
        <v>832</v>
      </c>
      <c r="B29" s="116">
        <f>6.5</f>
        <v>6.5</v>
      </c>
      <c r="C29" s="1877" t="s">
        <v>831</v>
      </c>
      <c r="D29" s="117"/>
      <c r="E29" s="1876"/>
    </row>
    <row r="30" spans="1:6" x14ac:dyDescent="0.3">
      <c r="A30" s="118" t="s">
        <v>833</v>
      </c>
      <c r="B30" s="116">
        <f>25.2</f>
        <v>25.2</v>
      </c>
      <c r="C30" s="1877"/>
      <c r="D30" s="117"/>
      <c r="E30" s="1876"/>
    </row>
    <row r="31" spans="1:6" ht="25.5" customHeight="1" x14ac:dyDescent="0.3">
      <c r="A31" s="119" t="s">
        <v>973</v>
      </c>
      <c r="B31" s="120">
        <f>11</f>
        <v>11</v>
      </c>
      <c r="C31" s="1878"/>
      <c r="D31" s="121"/>
      <c r="E31" s="1876"/>
    </row>
    <row r="32" spans="1:6" x14ac:dyDescent="0.3">
      <c r="A32" s="90"/>
      <c r="B32" s="119"/>
      <c r="C32" s="119"/>
      <c r="D32" s="119"/>
      <c r="E32" s="94"/>
    </row>
    <row r="33" spans="1:23" x14ac:dyDescent="0.3">
      <c r="A33" s="90" t="s">
        <v>866</v>
      </c>
      <c r="B33" s="91"/>
      <c r="C33" s="92" t="s">
        <v>899</v>
      </c>
      <c r="D33" s="93" t="s">
        <v>900</v>
      </c>
      <c r="E33" s="94"/>
      <c r="G33" s="75">
        <f>C34*0.86/1000</f>
        <v>0.38776620893936986</v>
      </c>
    </row>
    <row r="34" spans="1:23" x14ac:dyDescent="0.3">
      <c r="A34" s="90"/>
      <c r="B34" s="91" t="s">
        <v>1599</v>
      </c>
      <c r="C34" s="122">
        <f>('Расчет базового уровня'!F144+'Расчет базового уровня'!F151-'Расчет базового уровня'!F148)*'Расчет базового уровня'!D158</f>
        <v>450.89094062717425</v>
      </c>
      <c r="D34" s="123">
        <f>('Расчет после реализации'!F144+'Расчет после реализации'!F151-'Расчет после реализации'!F148)*'Расчет после реализации'!D158</f>
        <v>288.34900111036569</v>
      </c>
      <c r="E34" s="75" t="s">
        <v>1603</v>
      </c>
    </row>
    <row r="35" spans="1:23" x14ac:dyDescent="0.3">
      <c r="A35" s="90">
        <f>C35*$C$43*0.00272/$C$44</f>
        <v>0.36041829311194207</v>
      </c>
      <c r="B35" s="91" t="s">
        <v>1601</v>
      </c>
      <c r="C35" s="124">
        <f>3.6*C34/('Ввод исходных данных'!$D$177-'Ввод исходных данных'!$D$178)/4.2</f>
        <v>15.459117964360258</v>
      </c>
      <c r="D35" s="124">
        <f>3.6*D34/('Ввод исходных данных'!$D$177-'Ввод исходных данных'!$D$178)/4.2</f>
        <v>9.8862514666411077</v>
      </c>
      <c r="E35" s="93" t="s">
        <v>885</v>
      </c>
    </row>
    <row r="36" spans="1:23" x14ac:dyDescent="0.3">
      <c r="A36" s="77" t="s">
        <v>867</v>
      </c>
      <c r="B36" s="91" t="s">
        <v>1602</v>
      </c>
      <c r="C36" s="125">
        <f>C35*$C$43*0.00272/$C$44*(24*'Ввод исходных данных'!D246)</f>
        <v>1652.1574556251423</v>
      </c>
      <c r="D36" s="125">
        <f>D35*$C$43*0.00272/$C$44*(24*'Ввод исходных данных'!D246)</f>
        <v>1056.5702458867315</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3">
      <c r="A37" s="126" t="s">
        <v>870</v>
      </c>
      <c r="B37" s="127" t="s">
        <v>921</v>
      </c>
      <c r="C37" s="128" t="s">
        <v>868</v>
      </c>
      <c r="D37" s="129" t="s">
        <v>869</v>
      </c>
      <c r="E37" s="94" t="s">
        <v>488</v>
      </c>
      <c r="F37" s="75" t="s">
        <v>489</v>
      </c>
      <c r="K37" s="94"/>
    </row>
    <row r="38" spans="1:23" ht="28.8" x14ac:dyDescent="0.3">
      <c r="A38" s="130" t="s">
        <v>871</v>
      </c>
      <c r="B38" s="131"/>
      <c r="C38" s="131"/>
      <c r="D38" s="132"/>
      <c r="K38" s="94"/>
    </row>
    <row r="39" spans="1:23" ht="38.4" x14ac:dyDescent="0.3">
      <c r="A39" s="133" t="s">
        <v>874</v>
      </c>
      <c r="B39" s="134" t="s">
        <v>872</v>
      </c>
      <c r="C39" s="135">
        <f>40</f>
        <v>40</v>
      </c>
      <c r="D39" s="136" t="s">
        <v>873</v>
      </c>
      <c r="K39" s="94"/>
    </row>
    <row r="40" spans="1:23" ht="46.5" customHeight="1" x14ac:dyDescent="0.3">
      <c r="A40" s="137" t="s">
        <v>876</v>
      </c>
      <c r="B40" s="138" t="s">
        <v>875</v>
      </c>
      <c r="C40" s="139">
        <f>C39/(1163*1)</f>
        <v>3.4393809114359415E-2</v>
      </c>
      <c r="D40" s="140"/>
      <c r="G40" s="141">
        <f>'Расчет базового уровня'!O35/('Ввод исходных данных'!$D$177-'Ввод исходных данных'!$D$178)/4.2*3.6</f>
        <v>5175.551559442958</v>
      </c>
      <c r="H40" s="141">
        <f>'Расчет базового уровня'!R35/('Ввод исходных данных'!$D$177-'Ввод исходных данных'!$D$178)/4.2*3.6</f>
        <v>2200.4032051400154</v>
      </c>
      <c r="I40" s="141">
        <f>'Расчет базового уровня'!U35/('Ввод исходных данных'!$D$177-'Ввод исходных данных'!$D$178)/4.2*3.6</f>
        <v>0</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0</v>
      </c>
      <c r="N40" s="141">
        <f>'Расчет базового уровня'!AJ35/('Ввод исходных данных'!$D$177-'Ввод исходных данных'!$D$178)/4.2*3.6</f>
        <v>1598.9948026157379</v>
      </c>
      <c r="O40" s="141">
        <f>'Расчет базового уровня'!AM35/('Ввод исходных данных'!$D$177-'Ввод исходных данных'!$D$178)/4.2*3.6</f>
        <v>4463.8287661852328</v>
      </c>
      <c r="P40" s="141">
        <f>'Расчет базового уровня'!AP35/('Ввод исходных данных'!$D$177-'Ввод исходных данных'!$D$178)/4.2*3.6</f>
        <v>5870.9338254478153</v>
      </c>
    </row>
    <row r="41" spans="1:23" ht="22.5" customHeight="1" x14ac:dyDescent="0.3">
      <c r="A41" s="142" t="s">
        <v>1388</v>
      </c>
      <c r="B41" s="134" t="s">
        <v>494</v>
      </c>
      <c r="C41" s="143">
        <f>'Расчет базового уровня'!C35/('Ввод исходных данных'!D177-'Ввод исходных данных'!D178)/4.2*3.6</f>
        <v>32391.300901267834</v>
      </c>
      <c r="D41" s="136" t="s">
        <v>877</v>
      </c>
      <c r="E41" s="141">
        <f>'Расчет базового уровня'!I35/('Ввод исходных данных'!$D$177-'Ввод исходных данных'!$D$178)/4.2*3.6</f>
        <v>6466.9757677376929</v>
      </c>
      <c r="F41" s="141">
        <f>'Расчет базового уровня'!L35/('Ввод исходных данных'!$D$177-'Ввод исходных данных'!$D$178)/4.2*3.6</f>
        <v>5691.5948297835384</v>
      </c>
      <c r="G41" s="144">
        <f>'Расчет после реализации'!N35/('Ввод исходных данных'!$D$177-'Ввод исходных данных'!$D$178)/4.2*3.6</f>
        <v>2623.6057365151064</v>
      </c>
      <c r="H41" s="144">
        <f>'Расчет после реализации'!P35/('Ввод исходных данных'!$D$177-'Ввод исходных данных'!$D$178)/4.2*3.6</f>
        <v>800.89879819739735</v>
      </c>
      <c r="I41" s="144">
        <f>'Расчет после реализации'!R35/('Ввод исходных данных'!$D$177-'Ввод исходных данных'!$D$178)/4.2*3.6</f>
        <v>0</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1185.1051189243337</v>
      </c>
      <c r="O41" s="144">
        <f>'Расчет после реализации'!AD35/('Ввод исходных данных'!$D$177-'Ввод исходных данных'!$D$178)/4.2*3.6</f>
        <v>2559.7994200018693</v>
      </c>
      <c r="P41" s="144">
        <f>'Расчет после реализации'!AF35/('Ввод исходных данных'!$D$177-'Ввод исходных данных'!$D$178)/4.2*3.6</f>
        <v>2881.8497063570117</v>
      </c>
      <c r="Q41" s="144"/>
      <c r="R41" s="144"/>
      <c r="S41" s="144"/>
      <c r="T41" s="144"/>
      <c r="U41" s="144"/>
      <c r="V41" s="144"/>
      <c r="W41" s="144"/>
    </row>
    <row r="42" spans="1:23" ht="24" customHeight="1" x14ac:dyDescent="0.3">
      <c r="A42" s="145" t="s">
        <v>878</v>
      </c>
      <c r="B42" s="146"/>
      <c r="C42" s="144">
        <f>'Расчет после реализации'!D35/('Ввод исходных данных'!$D$177-'Ввод исходных данных'!$D$178)/4.2*3.6</f>
        <v>17546.568666514835</v>
      </c>
      <c r="D42" s="147"/>
      <c r="E42" s="144">
        <f>'Расчет после реализации'!J35/('Ввод исходных данных'!$D$177-'Ввод исходных данных'!$D$178)/4.2*3.6</f>
        <v>3785.7036008036844</v>
      </c>
      <c r="F42" s="144">
        <f>'Расчет после реализации'!L35/('Ввод исходных данных'!$D$177-'Ввод исходных данных'!$D$178)/4.2*3.6</f>
        <v>3166.6548517408178</v>
      </c>
      <c r="K42" s="94"/>
    </row>
    <row r="43" spans="1:23" ht="38.25" customHeight="1" x14ac:dyDescent="0.3">
      <c r="A43" s="148" t="s">
        <v>879</v>
      </c>
      <c r="B43" s="134" t="s">
        <v>922</v>
      </c>
      <c r="C43" s="135">
        <v>6</v>
      </c>
      <c r="D43" s="136" t="s">
        <v>923</v>
      </c>
      <c r="J43" s="99"/>
      <c r="K43" s="94"/>
    </row>
    <row r="44" spans="1:23" ht="12" customHeight="1" x14ac:dyDescent="0.3">
      <c r="A44" s="149" t="s">
        <v>597</v>
      </c>
      <c r="B44" s="110"/>
      <c r="C44" s="150">
        <v>0.7</v>
      </c>
      <c r="D44" s="151" t="s">
        <v>880</v>
      </c>
      <c r="K44" s="94"/>
    </row>
    <row r="45" spans="1:23" ht="36" x14ac:dyDescent="0.3">
      <c r="A45" s="152" t="s">
        <v>882</v>
      </c>
      <c r="B45" s="153"/>
      <c r="C45" s="154">
        <f>1</f>
        <v>1</v>
      </c>
      <c r="D45" s="155" t="s">
        <v>881</v>
      </c>
      <c r="G45" s="99"/>
      <c r="H45" s="99"/>
      <c r="I45" s="99"/>
      <c r="J45" s="99"/>
      <c r="K45" s="99"/>
      <c r="L45" s="99"/>
      <c r="M45" s="99"/>
      <c r="N45" s="99"/>
      <c r="O45" s="99"/>
      <c r="P45" s="99"/>
    </row>
    <row r="46" spans="1:23" ht="26.4" x14ac:dyDescent="0.3">
      <c r="A46" s="156" t="s">
        <v>1607</v>
      </c>
      <c r="B46" s="134" t="s">
        <v>883</v>
      </c>
      <c r="C46" s="139">
        <f>$C$43*0.00272/$C$44</f>
        <v>2.3314285714285718E-2</v>
      </c>
      <c r="D46" s="151"/>
      <c r="E46" s="99"/>
      <c r="F46" s="99"/>
      <c r="G46" s="157">
        <f t="shared" ref="G46:P46" si="0">0.00272*G40*10/$C$44</f>
        <v>201.10714630978356</v>
      </c>
      <c r="H46" s="157">
        <f t="shared" si="0"/>
        <v>85.501381685440606</v>
      </c>
      <c r="I46" s="157">
        <f t="shared" si="0"/>
        <v>0</v>
      </c>
      <c r="J46" s="157">
        <f t="shared" si="0"/>
        <v>0</v>
      </c>
      <c r="K46" s="157">
        <f t="shared" si="0"/>
        <v>0</v>
      </c>
      <c r="L46" s="157">
        <f t="shared" si="0"/>
        <v>0</v>
      </c>
      <c r="M46" s="157">
        <f t="shared" si="0"/>
        <v>0</v>
      </c>
      <c r="N46" s="157">
        <f t="shared" si="0"/>
        <v>62.132369473068685</v>
      </c>
      <c r="O46" s="157">
        <f t="shared" si="0"/>
        <v>173.45163205748335</v>
      </c>
      <c r="P46" s="157">
        <f t="shared" si="0"/>
        <v>228.12771436025801</v>
      </c>
    </row>
    <row r="47" spans="1:23" x14ac:dyDescent="0.3">
      <c r="A47" s="158" t="s">
        <v>1388</v>
      </c>
      <c r="B47" s="134" t="s">
        <v>842</v>
      </c>
      <c r="C47" s="157">
        <f>0.00272*C41*10/$C$44</f>
        <v>1258.6334064492644</v>
      </c>
      <c r="D47" s="159"/>
      <c r="E47" s="157">
        <f>0.00272*E41*10/$C$44</f>
        <v>251.28820126066469</v>
      </c>
      <c r="F47" s="157">
        <f>0.00272*F41*10/$C$44</f>
        <v>221.15911338587466</v>
      </c>
      <c r="G47" s="157">
        <f t="shared" ref="G47:P47" si="1">0.00272*G41*10/$C$44</f>
        <v>101.945822904587</v>
      </c>
      <c r="H47" s="157">
        <f t="shared" si="1"/>
        <v>31.120639015670303</v>
      </c>
      <c r="I47" s="157">
        <f t="shared" si="1"/>
        <v>0</v>
      </c>
      <c r="J47" s="157">
        <f t="shared" si="1"/>
        <v>0</v>
      </c>
      <c r="K47" s="157">
        <f t="shared" si="1"/>
        <v>0</v>
      </c>
      <c r="L47" s="157">
        <f t="shared" si="1"/>
        <v>0</v>
      </c>
      <c r="M47" s="157">
        <f t="shared" si="1"/>
        <v>0</v>
      </c>
      <c r="N47" s="157">
        <f t="shared" si="1"/>
        <v>46.049798906774114</v>
      </c>
      <c r="O47" s="157">
        <f t="shared" si="1"/>
        <v>99.466491748644074</v>
      </c>
      <c r="P47" s="157">
        <f t="shared" si="1"/>
        <v>111.98044573272961</v>
      </c>
    </row>
    <row r="48" spans="1:23" ht="26.4" x14ac:dyDescent="0.3">
      <c r="A48" s="156" t="s">
        <v>1608</v>
      </c>
      <c r="B48" s="134"/>
      <c r="C48" s="157">
        <f>0.00272*C42*10/$C$44</f>
        <v>681.80952532743368</v>
      </c>
      <c r="D48" s="159"/>
      <c r="E48" s="157">
        <f>0.00272*E42*10/$C$44</f>
        <v>147.10162563122887</v>
      </c>
      <c r="F48" s="157">
        <f>0.00272*F42*10/$C$44</f>
        <v>123.04715995335749</v>
      </c>
      <c r="G48" s="160">
        <f>$C$35*$C$43*0.00272/$C$44*(24*'Расчет после реализации'!I146)</f>
        <v>268.15121007528489</v>
      </c>
      <c r="H48" s="160">
        <f>$C$35*$C$43*0.00272/$C$44*(24*'Расчет после реализации'!J146)</f>
        <v>129.75058552029915</v>
      </c>
      <c r="I48" s="160">
        <f>$C$35*$C$43*0.00272/$C$44*(24*'Расчет после реализации'!K146)</f>
        <v>0</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216.25097586716524</v>
      </c>
      <c r="O48" s="160">
        <f>$C$35*$C$43*0.00272/$C$44*(24*'Расчет после реализации'!Q146)</f>
        <v>259.50117104059831</v>
      </c>
      <c r="P48" s="160">
        <f>$C$35*$C$43*0.00272/$C$44*(24*'Расчет после реализации'!R146)</f>
        <v>268.15121007528489</v>
      </c>
      <c r="Q48" s="99"/>
    </row>
    <row r="49" spans="1:17" x14ac:dyDescent="0.3">
      <c r="A49" s="158" t="s">
        <v>1388</v>
      </c>
      <c r="B49" s="134" t="s">
        <v>842</v>
      </c>
      <c r="C49" s="160">
        <f>C35*6*0.00272/$C$44*(24*'Ввод исходных данных'!D246)</f>
        <v>1652.1574556251423</v>
      </c>
      <c r="D49" s="161"/>
      <c r="E49" s="160">
        <f>$C$35*$C$43*0.00272/$C$44*(24*'Расчет после реализации'!G146)</f>
        <v>268.15121007528489</v>
      </c>
      <c r="F49" s="160">
        <f>$C$35*$C$43*0.00272/$C$44*(24*'Расчет после реализации'!H146)</f>
        <v>242.20109297122508</v>
      </c>
      <c r="G49" s="162">
        <f>$D$35*$C$43*0.00272/$C$44*(24*'Расчет после реализации'!I146)</f>
        <v>171.48522315439098</v>
      </c>
      <c r="H49" s="162">
        <f>$D$35*$C$43*0.00272/$C$44*(24*'Расчет после реализации'!J146)</f>
        <v>82.976720881156922</v>
      </c>
      <c r="I49" s="162">
        <f>$D$35*$C$43*0.00272/$C$44*(24*'Расчет после реализации'!K146)</f>
        <v>0</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138.29453480192822</v>
      </c>
      <c r="O49" s="162">
        <f>$D$35*$C$43*0.00272/$C$44*(24*'Расчет после реализации'!Q146)</f>
        <v>165.95344176231384</v>
      </c>
      <c r="P49" s="162">
        <f>$D$35*$C$43*0.00272/$C$44*(24*'Расчет после реализации'!R146)</f>
        <v>171.48522315439098</v>
      </c>
      <c r="Q49" s="99"/>
    </row>
    <row r="50" spans="1:17" x14ac:dyDescent="0.3">
      <c r="A50" s="158" t="s">
        <v>1609</v>
      </c>
      <c r="B50" s="163"/>
      <c r="C50" s="164">
        <f>D35*$C$43*0.00272/$C$44*(24*'Ввод исходных данных'!D246)</f>
        <v>1056.5702458867315</v>
      </c>
      <c r="D50" s="165"/>
      <c r="E50" s="162">
        <f>$D$35*$C$43*0.00272/$C$44*(24*'Расчет после реализации'!G146)</f>
        <v>171.48522315439098</v>
      </c>
      <c r="F50" s="162">
        <f>$D$35*$C$43*0.00272/$C$44*(24*'Расчет после реализации'!H146)</f>
        <v>154.8898789781596</v>
      </c>
      <c r="G50" s="166">
        <f>IF('Список мероприятий'!$D$33=списки!$N$46,'Система электроснабжения'!G49,'Система электроснабжения'!G47)*IF('Список мероприятий'!AF44=1,0.9,1)*IF('Список мероприятий'!$AB$52=1,0.9572,1)</f>
        <v>171.48522315439098</v>
      </c>
      <c r="H50" s="166">
        <f>IF('Список мероприятий'!$D$33=списки!$N$46,'Система электроснабжения'!H49,'Система электроснабжения'!H47)*IF('Список мероприятий'!AG44=1,0.9,1)*IF('Список мероприятий'!$AB$52=1,0.9572,1)</f>
        <v>82.976720881156922</v>
      </c>
      <c r="I50" s="166">
        <f>IF('Список мероприятий'!$D$33=списки!$N$46,'Система электроснабжения'!I49,'Система электроснабжения'!I47)*IF('Список мероприятий'!AH44=1,0.9,1)*IF('Список мероприятий'!$AB$52=1,0.9572,1)</f>
        <v>0</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138.29453480192822</v>
      </c>
      <c r="O50" s="166">
        <f>IF('Список мероприятий'!$D$33=списки!$N$46,'Система электроснабжения'!O49,'Система электроснабжения'!O47)*IF('Список мероприятий'!AN44=1,0.9,1)*IF('Список мероприятий'!$AB$52=1,0.9572,1)</f>
        <v>165.95344176231384</v>
      </c>
      <c r="P50" s="166">
        <f>IF('Список мероприятий'!$D$33=списки!$N$46,'Система электроснабжения'!P49,'Система электроснабжения'!P47)*IF('Список мероприятий'!AO44=1,0.9,1)*IF('Список мероприятий'!$AB$52=1,0.9572,1)</f>
        <v>171.48522315439098</v>
      </c>
      <c r="Q50" s="99"/>
    </row>
    <row r="51" spans="1:17" ht="15" customHeight="1" x14ac:dyDescent="0.3">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1056.5702458867315</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171.48522315439098</v>
      </c>
      <c r="F51" s="166">
        <f>IF('Список мероприятий'!$D$33=списки!$N$46,'Система электроснабжения'!F50,'Система электроснабжения'!F48)*IF('Список мероприятий'!AE44=1,0.9,1)*IF('Список мероприятий'!$AB$52=1,0.9572,1)</f>
        <v>154.8898789781596</v>
      </c>
      <c r="K51" s="94"/>
    </row>
    <row r="52" spans="1:17" ht="34.5" customHeight="1" x14ac:dyDescent="0.3">
      <c r="A52" s="152" t="s">
        <v>1450</v>
      </c>
      <c r="B52" s="131"/>
      <c r="C52" s="131"/>
      <c r="D52" s="132"/>
      <c r="G52" s="167">
        <f>G55*'Система электроснабжения'!$C$55</f>
        <v>4.9098959346057649</v>
      </c>
      <c r="H52" s="167">
        <f>H55*'Система электроснабжения'!$C$55</f>
        <v>4.4189063411451883</v>
      </c>
      <c r="I52" s="167">
        <f>I55*'Система электроснабжения'!$C$55</f>
        <v>4.4189063411451883</v>
      </c>
      <c r="J52" s="167">
        <f>J55*'Система электроснабжения'!$C$55</f>
        <v>4.4189063411451883</v>
      </c>
      <c r="K52" s="167">
        <f>K55*'Система электроснабжения'!$C$55</f>
        <v>4.4189063411451883</v>
      </c>
      <c r="L52" s="167">
        <f>L55*'Система электроснабжения'!$C$55</f>
        <v>4.4189063411451883</v>
      </c>
      <c r="M52" s="167">
        <f>M55*'Система электроснабжения'!$C$55</f>
        <v>4.4189063411451883</v>
      </c>
      <c r="N52" s="167">
        <f>N55*'Система электроснабжения'!$C$55</f>
        <v>4.4189063411451883</v>
      </c>
      <c r="O52" s="167">
        <f>O55*'Система электроснабжения'!$C$55</f>
        <v>4.9098959346057649</v>
      </c>
      <c r="P52" s="167">
        <f>P55*'Система электроснабжения'!$C$55</f>
        <v>4.9098959346057649</v>
      </c>
    </row>
    <row r="53" spans="1:17" s="171" customFormat="1" ht="19.5" customHeight="1" x14ac:dyDescent="0.3">
      <c r="A53" s="168" t="s">
        <v>1348</v>
      </c>
      <c r="B53" s="169" t="s">
        <v>885</v>
      </c>
      <c r="C53" s="167">
        <f>'Расчет базового уровня'!D171*'Система электроснабжения'!$C$55</f>
        <v>4.9098959346057649</v>
      </c>
      <c r="D53" s="95"/>
      <c r="E53" s="167">
        <f>E56*'Система электроснабжения'!$C$55</f>
        <v>4.9098959346057649</v>
      </c>
      <c r="F53" s="167">
        <f>F56*'Система электроснабжения'!$C$55</f>
        <v>4.9098959346057649</v>
      </c>
      <c r="G53" s="170">
        <f>G56*'Система электроснабжения'!$C$55</f>
        <v>4.9098959346057649</v>
      </c>
      <c r="H53" s="170">
        <f>H56*'Система электроснабжения'!$C$55</f>
        <v>4.4189063411451883</v>
      </c>
      <c r="I53" s="170">
        <f>I56*'Система электроснабжения'!$C$55</f>
        <v>4.4189063411451883</v>
      </c>
      <c r="J53" s="170">
        <f>J56*'Система электроснабжения'!$C$55</f>
        <v>4.4189063411451883</v>
      </c>
      <c r="K53" s="170">
        <f>K56*'Система электроснабжения'!$C$55</f>
        <v>4.4189063411451883</v>
      </c>
      <c r="L53" s="170">
        <f>L56*'Система электроснабжения'!$C$55</f>
        <v>4.4189063411451883</v>
      </c>
      <c r="M53" s="170">
        <f>M56*'Система электроснабжения'!$C$55</f>
        <v>4.4189063411451883</v>
      </c>
      <c r="N53" s="170">
        <f>N56*'Система электроснабжения'!$C$55</f>
        <v>4.4189063411451883</v>
      </c>
      <c r="O53" s="170">
        <f>O56*'Система электроснабжения'!$C$55</f>
        <v>4.9098959346057649</v>
      </c>
      <c r="P53" s="170">
        <f>P56*'Система электроснабжения'!$C$55</f>
        <v>4.9098959346057649</v>
      </c>
    </row>
    <row r="54" spans="1:17" ht="30.75" customHeight="1" x14ac:dyDescent="0.3">
      <c r="A54" s="172" t="s">
        <v>893</v>
      </c>
      <c r="B54" s="173"/>
      <c r="C54" s="174">
        <f>C57*'Система электроснабжения'!C55</f>
        <v>4.9054990128732836</v>
      </c>
      <c r="D54" s="175"/>
      <c r="E54" s="170">
        <f>E57*'Система электроснабжения'!$C$55</f>
        <v>4.9098959346057649</v>
      </c>
      <c r="F54" s="170">
        <f>F57*'Система электроснабжения'!$C$55</f>
        <v>4.9098959346057649</v>
      </c>
      <c r="K54" s="176"/>
      <c r="L54" s="177"/>
      <c r="M54" s="177"/>
      <c r="N54" s="177"/>
      <c r="O54" s="177"/>
      <c r="P54" s="177"/>
    </row>
    <row r="55" spans="1:17" ht="30.75" customHeight="1" x14ac:dyDescent="0.3">
      <c r="A55" s="172"/>
      <c r="B55" s="169"/>
      <c r="C55" s="178">
        <f>11.96*('Ввод исходных данных'!$D$22^(-0.181))</f>
        <v>4.3187600126475472</v>
      </c>
      <c r="D55" s="95"/>
      <c r="E55" s="177"/>
      <c r="F55" s="177"/>
      <c r="G55" s="179">
        <f>'Расчет базового уровня'!I171</f>
        <v>1.1368763071407229</v>
      </c>
      <c r="H55" s="179">
        <f>'Расчет базового уровня'!J171</f>
        <v>1.0231886764266505</v>
      </c>
      <c r="I55" s="179">
        <f>'Расчет базового уровня'!K171</f>
        <v>1.0231886764266505</v>
      </c>
      <c r="J55" s="179">
        <f>'Расчет базового уровня'!L171</f>
        <v>1.0231886764266505</v>
      </c>
      <c r="K55" s="179">
        <f>'Расчет базового уровня'!M171</f>
        <v>1.0231886764266505</v>
      </c>
      <c r="L55" s="179">
        <f>'Расчет базового уровня'!N171</f>
        <v>1.0231886764266505</v>
      </c>
      <c r="M55" s="179">
        <f>'Расчет базового уровня'!O171</f>
        <v>1.0231886764266505</v>
      </c>
      <c r="N55" s="179">
        <f>'Расчет базового уровня'!P171</f>
        <v>1.0231886764266505</v>
      </c>
      <c r="O55" s="179">
        <f>'Расчет базового уровня'!Q171</f>
        <v>1.1368763071407229</v>
      </c>
      <c r="P55" s="179">
        <f>'Расчет базового уровня'!R171</f>
        <v>1.1368763071407229</v>
      </c>
    </row>
    <row r="56" spans="1:17" s="171" customFormat="1" ht="16.5" customHeight="1" x14ac:dyDescent="0.3">
      <c r="A56" s="180" t="s">
        <v>1451</v>
      </c>
      <c r="B56" s="169"/>
      <c r="C56" s="178"/>
      <c r="D56" s="95"/>
      <c r="E56" s="179">
        <f>'Расчет базового уровня'!G171</f>
        <v>1.1368763071407229</v>
      </c>
      <c r="F56" s="179">
        <f>'Расчет базового уровня'!H171</f>
        <v>1.1368763071407229</v>
      </c>
      <c r="G56" s="181">
        <f>'Расчет после реализации'!I169</f>
        <v>1.1368763071407229</v>
      </c>
      <c r="H56" s="181">
        <f>'Расчет после реализации'!J169</f>
        <v>1.0231886764266505</v>
      </c>
      <c r="I56" s="181">
        <f>'Расчет после реализации'!K169</f>
        <v>1.0231886764266505</v>
      </c>
      <c r="J56" s="181">
        <f>'Расчет после реализации'!L169</f>
        <v>1.0231886764266505</v>
      </c>
      <c r="K56" s="181">
        <f>'Расчет после реализации'!M169</f>
        <v>1.0231886764266505</v>
      </c>
      <c r="L56" s="181">
        <f>'Расчет после реализации'!N169</f>
        <v>1.0231886764266505</v>
      </c>
      <c r="M56" s="181">
        <f>'Расчет после реализации'!O169</f>
        <v>1.0231886764266505</v>
      </c>
      <c r="N56" s="181">
        <f>'Расчет после реализации'!P169</f>
        <v>1.0231886764266505</v>
      </c>
      <c r="O56" s="181">
        <f>'Расчет после реализации'!Q169</f>
        <v>1.1368763071407229</v>
      </c>
      <c r="P56" s="181">
        <f>'Расчет после реализации'!R169</f>
        <v>1.1368763071407229</v>
      </c>
    </row>
    <row r="57" spans="1:17" ht="24" customHeight="1" x14ac:dyDescent="0.3">
      <c r="A57" s="148" t="s">
        <v>886</v>
      </c>
      <c r="B57" s="173"/>
      <c r="C57" s="182">
        <f>'Расчет после реализации'!D169</f>
        <v>1.135858208955224</v>
      </c>
      <c r="D57" s="175"/>
      <c r="E57" s="181">
        <f>'Расчет после реализации'!G169</f>
        <v>1.1368763071407229</v>
      </c>
      <c r="F57" s="181">
        <f>'Расчет после реализации'!H169</f>
        <v>1.1368763071407229</v>
      </c>
    </row>
    <row r="58" spans="1:17" ht="36" x14ac:dyDescent="0.3">
      <c r="A58" s="172" t="s">
        <v>888</v>
      </c>
      <c r="B58" s="110"/>
      <c r="C58" s="183">
        <v>0.1</v>
      </c>
      <c r="D58" s="184" t="s">
        <v>887</v>
      </c>
      <c r="G58" s="143">
        <f t="shared" ref="G58:P58" si="2">G52*(1+$C$58)</f>
        <v>5.4008855280663415</v>
      </c>
      <c r="H58" s="143">
        <f t="shared" si="2"/>
        <v>4.8607969752597073</v>
      </c>
      <c r="I58" s="143">
        <f t="shared" si="2"/>
        <v>4.8607969752597073</v>
      </c>
      <c r="J58" s="143">
        <f t="shared" si="2"/>
        <v>4.8607969752597073</v>
      </c>
      <c r="K58" s="143">
        <f t="shared" si="2"/>
        <v>4.8607969752597073</v>
      </c>
      <c r="L58" s="143">
        <f t="shared" si="2"/>
        <v>4.8607969752597073</v>
      </c>
      <c r="M58" s="143">
        <f t="shared" si="2"/>
        <v>4.8607969752597073</v>
      </c>
      <c r="N58" s="143">
        <f t="shared" si="2"/>
        <v>4.8607969752597073</v>
      </c>
      <c r="O58" s="143">
        <f t="shared" si="2"/>
        <v>5.4008855280663415</v>
      </c>
      <c r="P58" s="143">
        <f t="shared" si="2"/>
        <v>5.4008855280663415</v>
      </c>
    </row>
    <row r="59" spans="1:17" s="171" customFormat="1" x14ac:dyDescent="0.3">
      <c r="A59" s="168" t="s">
        <v>1348</v>
      </c>
      <c r="B59" s="169" t="s">
        <v>885</v>
      </c>
      <c r="C59" s="143">
        <f>C53*(1+C$58)</f>
        <v>5.4008855280663415</v>
      </c>
      <c r="D59" s="95"/>
      <c r="E59" s="143">
        <f>E53*(1+$C$58)</f>
        <v>5.4008855280663415</v>
      </c>
      <c r="F59" s="143">
        <f>F53*(1+$C$58)</f>
        <v>5.4008855280663415</v>
      </c>
      <c r="G59" s="144">
        <f t="shared" ref="G59:P59" si="3">G53*(1+$C$58)</f>
        <v>5.4008855280663415</v>
      </c>
      <c r="H59" s="144">
        <f t="shared" si="3"/>
        <v>4.8607969752597073</v>
      </c>
      <c r="I59" s="144">
        <f t="shared" si="3"/>
        <v>4.8607969752597073</v>
      </c>
      <c r="J59" s="144">
        <f t="shared" si="3"/>
        <v>4.8607969752597073</v>
      </c>
      <c r="K59" s="144">
        <f t="shared" si="3"/>
        <v>4.8607969752597073</v>
      </c>
      <c r="L59" s="144">
        <f t="shared" si="3"/>
        <v>4.8607969752597073</v>
      </c>
      <c r="M59" s="144">
        <f t="shared" si="3"/>
        <v>4.8607969752597073</v>
      </c>
      <c r="N59" s="144">
        <f t="shared" si="3"/>
        <v>4.8607969752597073</v>
      </c>
      <c r="O59" s="144">
        <f t="shared" si="3"/>
        <v>5.4008855280663415</v>
      </c>
      <c r="P59" s="144">
        <f t="shared" si="3"/>
        <v>5.4008855280663415</v>
      </c>
    </row>
    <row r="60" spans="1:17" x14ac:dyDescent="0.3">
      <c r="A60" s="145" t="s">
        <v>878</v>
      </c>
      <c r="B60" s="173"/>
      <c r="C60" s="144">
        <f>C54*(1+C$58)</f>
        <v>5.3960489141606125</v>
      </c>
      <c r="D60" s="175"/>
      <c r="E60" s="144">
        <f>E54*(1+$C$58)</f>
        <v>5.4008855280663415</v>
      </c>
      <c r="F60" s="144">
        <f>F54*(1+$C$58)</f>
        <v>5.4008855280663415</v>
      </c>
      <c r="K60" s="94"/>
    </row>
    <row r="61" spans="1:17" ht="48" x14ac:dyDescent="0.3">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3">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3">
      <c r="A63" s="148" t="s">
        <v>597</v>
      </c>
      <c r="B63" s="110"/>
      <c r="C63" s="150">
        <v>0.7</v>
      </c>
      <c r="D63" s="151" t="s">
        <v>880</v>
      </c>
      <c r="K63" s="94"/>
    </row>
    <row r="64" spans="1:17" ht="27.9" customHeight="1" x14ac:dyDescent="0.3">
      <c r="A64" s="156" t="s">
        <v>891</v>
      </c>
      <c r="B64" s="110"/>
      <c r="C64" s="150">
        <f>1</f>
        <v>1</v>
      </c>
      <c r="D64" s="151" t="s">
        <v>881</v>
      </c>
      <c r="G64" s="185">
        <f>0.00272*G58*$C$61*G61/($C$63*$C$64)</f>
        <v>156.13805750624707</v>
      </c>
      <c r="H64" s="185">
        <f>0.00272*H58*$C$61*H61/($C$63*$C$64)</f>
        <v>135.99121137640876</v>
      </c>
      <c r="I64" s="185">
        <f>0.00272*I58*$C$61*I61/($C$63*$C$64)</f>
        <v>140.52425175562237</v>
      </c>
      <c r="J64" s="185">
        <f>0.00272*J58*$C$61*J61/($C$63*$C$64)</f>
        <v>135.99121137640876</v>
      </c>
      <c r="K64" s="185">
        <f>0.00272*K58*$C$61*K61/($C$63*$C$64)</f>
        <v>77.061686446631612</v>
      </c>
      <c r="L64" s="185">
        <f t="shared" ref="L64:P64" si="4">0.00272*L58*$C$61*L61/($C$63*$C$64)</f>
        <v>140.52425175562237</v>
      </c>
      <c r="M64" s="185">
        <f t="shared" si="4"/>
        <v>135.99121137640876</v>
      </c>
      <c r="N64" s="185">
        <f t="shared" si="4"/>
        <v>140.52425175562237</v>
      </c>
      <c r="O64" s="185">
        <f t="shared" si="4"/>
        <v>151.10134597378749</v>
      </c>
      <c r="P64" s="185">
        <f t="shared" si="4"/>
        <v>156.13805750624707</v>
      </c>
    </row>
    <row r="65" spans="1:16" s="171" customFormat="1" ht="27.9" customHeight="1" x14ac:dyDescent="0.3">
      <c r="A65" s="186" t="s">
        <v>1349</v>
      </c>
      <c r="B65" s="134" t="s">
        <v>842</v>
      </c>
      <c r="C65" s="185">
        <f>0.00272*C59*C61*C62/(C63*C64)</f>
        <v>1767.8857478933135</v>
      </c>
      <c r="D65" s="95"/>
      <c r="E65" s="185">
        <f>0.00272*E59*$C$61*E62/($C$63*$C$64)</f>
        <v>156.13805750624707</v>
      </c>
      <c r="F65" s="185">
        <f>0.00272*F59*$C$61*F62/($C$63*$C$64)</f>
        <v>141.02792290886831</v>
      </c>
      <c r="G65" s="187">
        <f>0.00272*G59*$C$61*G61/(C63*C64)*IF('Список мероприятий'!AB44=1,0.9,1)*IF('Список мероприятий'!AB52=1,0.9572,1)</f>
        <v>156.13805750624707</v>
      </c>
      <c r="H65" s="187">
        <f>0.00272*H59*$C$61*H61/(C63*C64)*IF('Список мероприятий'!AB44=1,0.9,1)*IF('Список мероприятий'!AB52=1,0.9572,1)</f>
        <v>135.99121137640876</v>
      </c>
      <c r="I65" s="187">
        <f>0.00272*I59*$C$61*I61/(C63*C64)*IF('Список мероприятий'!AB44=1,0.9,1)*IF('Список мероприятий'!AB52=1,0.9572,1)</f>
        <v>140.52425175562237</v>
      </c>
      <c r="J65" s="187">
        <f>0.00272*J59*$C$61*J61/(C63*C64)*IF('Список мероприятий'!AB44=1,0.9,1)*IF('Список мероприятий'!AB52=1,0.9572,1)</f>
        <v>135.99121137640876</v>
      </c>
      <c r="K65" s="187">
        <f>0.00272*K59*$C$61*K61/(C63*C64)*IF('Список мероприятий'!AB44=1,0.9,1)*IF('Список мероприятий'!AB52=1,0.9572,1)</f>
        <v>77.061686446631612</v>
      </c>
      <c r="L65" s="187">
        <f>0.00272*L59*$C$61*L61/(C63*C64)*IF('Список мероприятий'!AB44=1,0.9,1)*IF('Список мероприятий'!AB52=1,0.9572,1)</f>
        <v>140.52425175562237</v>
      </c>
      <c r="M65" s="187">
        <f>0.00272*M59*$C$61*M61/(C63*C64)*IF('Список мероприятий'!AB44=1,0.9,1)*IF('Список мероприятий'!AB52=1,0.9572,1)</f>
        <v>135.99121137640876</v>
      </c>
      <c r="N65" s="187">
        <f>0.00272*N59*$C$61*N61/(C63*C64)*IF('Список мероприятий'!AB44=1,0.9,1)*IF('Список мероприятий'!AB52=1,0.9572,1)</f>
        <v>140.52425175562237</v>
      </c>
      <c r="O65" s="187">
        <f>0.00272*O59*$C$61*O61/(C63*C64)*IF('Список мероприятий'!AB44=1,0.9,1)*IF('Список мероприятий'!AB52=1,0.9572,1)</f>
        <v>151.10134597378749</v>
      </c>
      <c r="P65" s="187">
        <f>0.00272*P59*$C$61*P61/(C63*C64)*IF('Список мероприятий'!AB44=1,0.9,1)*IF('Список мероприятий'!AB52=1,0.9572,1)</f>
        <v>156.13805750624707</v>
      </c>
    </row>
    <row r="66" spans="1:16" ht="27.9" customHeight="1" x14ac:dyDescent="0.3">
      <c r="A66" s="100" t="s">
        <v>974</v>
      </c>
      <c r="B66" s="188"/>
      <c r="C66" s="189">
        <f>0.00272*C60*C61*C62/(C63*C64)*IF('Список мероприятий'!AB44=1,0.9,1)*IF('Список мероприятий'!AB52=1,0.9572,1)</f>
        <v>1766.3025666265441</v>
      </c>
      <c r="D66" s="190"/>
      <c r="E66" s="187">
        <f>0.00272*E60*$C$61*E62/(C63*C64)*IF('Список мероприятий'!AB44=1,0.9,1)*IF('Список мероприятий'!AB52=1,0.9572,1)</f>
        <v>156.13805750624707</v>
      </c>
      <c r="F66" s="187">
        <f>0.00272*F60*$C$61*F62/(C63*C64)*IF('Список мероприятий'!AB44=1,0.9,1)*IF('Список мероприятий'!AB52=1,0.9572,1)</f>
        <v>141.02792290886831</v>
      </c>
      <c r="G66" s="100"/>
    </row>
    <row r="67" spans="1:16" x14ac:dyDescent="0.3">
      <c r="A67" s="90" t="s">
        <v>892</v>
      </c>
      <c r="B67" s="100"/>
      <c r="C67" s="100"/>
      <c r="D67" s="100"/>
      <c r="E67" s="100"/>
      <c r="F67" s="100"/>
    </row>
    <row r="68" spans="1:16" x14ac:dyDescent="0.3">
      <c r="A68" s="1879" t="s">
        <v>834</v>
      </c>
      <c r="B68" s="91"/>
      <c r="C68" s="92"/>
      <c r="D68" s="93"/>
      <c r="E68" s="94"/>
      <c r="G68" s="129"/>
    </row>
    <row r="69" spans="1:16" x14ac:dyDescent="0.3">
      <c r="A69" s="1879"/>
      <c r="B69" s="1879" t="s">
        <v>835</v>
      </c>
      <c r="C69" s="129" t="s">
        <v>754</v>
      </c>
      <c r="D69" s="129"/>
      <c r="E69" s="129"/>
      <c r="F69" s="129"/>
      <c r="G69" s="191" t="s">
        <v>840</v>
      </c>
    </row>
    <row r="70" spans="1:16" ht="52.8" x14ac:dyDescent="0.3">
      <c r="A70" s="192" t="s">
        <v>841</v>
      </c>
      <c r="B70" s="1879"/>
      <c r="C70" s="193" t="s">
        <v>836</v>
      </c>
      <c r="D70" s="194" t="s">
        <v>837</v>
      </c>
      <c r="E70" s="194" t="s">
        <v>838</v>
      </c>
      <c r="F70" s="194" t="s">
        <v>839</v>
      </c>
      <c r="G70" s="82">
        <f>10.9</f>
        <v>10.9</v>
      </c>
    </row>
    <row r="71" spans="1:16" ht="15" customHeight="1" x14ac:dyDescent="0.3">
      <c r="A71" s="195" t="s">
        <v>843</v>
      </c>
      <c r="B71" s="196" t="s">
        <v>842</v>
      </c>
      <c r="C71" s="197">
        <f>8</f>
        <v>8</v>
      </c>
      <c r="D71" s="183">
        <f>8.5</f>
        <v>8.5</v>
      </c>
      <c r="E71" s="82">
        <f>9.3</f>
        <v>9.3000000000000007</v>
      </c>
      <c r="F71" s="82">
        <f>10</f>
        <v>10</v>
      </c>
      <c r="G71" s="195"/>
    </row>
    <row r="72" spans="1:16" x14ac:dyDescent="0.3">
      <c r="A72" s="90"/>
      <c r="B72" s="195"/>
      <c r="C72" s="195"/>
      <c r="D72" s="195"/>
      <c r="E72" s="195"/>
      <c r="F72" s="195"/>
    </row>
    <row r="73" spans="1:16" x14ac:dyDescent="0.3">
      <c r="B73" s="91"/>
      <c r="C73" s="92"/>
      <c r="D73" s="93"/>
      <c r="E73" s="94"/>
    </row>
    <row r="75" spans="1:16" ht="15" thickBot="1" x14ac:dyDescent="0.35">
      <c r="D75" s="75">
        <f>(1/0.77^2-1/0.96^2)/(1/0.77^2)*0.12</f>
        <v>4.2799479166666668E-2</v>
      </c>
    </row>
    <row r="76" spans="1:16" ht="108.75" customHeight="1" thickBot="1" x14ac:dyDescent="0.35">
      <c r="A76" s="198" t="s">
        <v>565</v>
      </c>
      <c r="D76" s="75">
        <f>1-D75</f>
        <v>0.95720052083333329</v>
      </c>
    </row>
    <row r="77" spans="1:16" ht="81.599999999999994" thickBot="1" x14ac:dyDescent="0.35">
      <c r="A77" s="199" t="s">
        <v>568</v>
      </c>
      <c r="B77" s="198" t="s">
        <v>566</v>
      </c>
      <c r="C77" s="200" t="s">
        <v>567</v>
      </c>
    </row>
    <row r="78" spans="1:16" ht="16.2" thickBot="1" x14ac:dyDescent="0.35">
      <c r="A78" s="199" t="s">
        <v>569</v>
      </c>
      <c r="B78" s="201">
        <v>50</v>
      </c>
      <c r="C78" s="202">
        <v>6</v>
      </c>
    </row>
    <row r="79" spans="1:16" ht="16.2" thickBot="1" x14ac:dyDescent="0.35">
      <c r="A79" s="199" t="s">
        <v>570</v>
      </c>
      <c r="B79" s="201">
        <v>20</v>
      </c>
      <c r="C79" s="202">
        <v>4</v>
      </c>
    </row>
    <row r="80" spans="1:16" ht="16.2" thickBot="1" x14ac:dyDescent="0.35">
      <c r="B80" s="201">
        <v>20</v>
      </c>
      <c r="C80" s="202">
        <v>4</v>
      </c>
    </row>
    <row r="82" spans="1:5" ht="15.6" x14ac:dyDescent="0.3">
      <c r="A82" s="203" t="s">
        <v>571</v>
      </c>
    </row>
    <row r="83" spans="1:5" ht="31.2" x14ac:dyDescent="0.3">
      <c r="A83" s="204" t="s">
        <v>575</v>
      </c>
      <c r="B83" s="203" t="s">
        <v>572</v>
      </c>
      <c r="C83" s="203" t="s">
        <v>573</v>
      </c>
      <c r="D83" s="203" t="s">
        <v>574</v>
      </c>
    </row>
    <row r="84" spans="1:5" ht="15.6" x14ac:dyDescent="0.3">
      <c r="A84" s="204" t="s">
        <v>576</v>
      </c>
      <c r="B84" s="203"/>
      <c r="C84" s="203"/>
    </row>
    <row r="85" spans="1:5" ht="31.2" x14ac:dyDescent="0.3">
      <c r="A85" s="205"/>
      <c r="B85" s="204" t="s">
        <v>577</v>
      </c>
      <c r="C85" s="203" t="s">
        <v>579</v>
      </c>
      <c r="D85" s="75">
        <v>2920</v>
      </c>
      <c r="E85" s="75">
        <v>120</v>
      </c>
    </row>
    <row r="86" spans="1:5" ht="46.8" x14ac:dyDescent="0.3">
      <c r="A86" s="205"/>
      <c r="B86" s="204" t="s">
        <v>578</v>
      </c>
      <c r="C86" s="203" t="s">
        <v>579</v>
      </c>
      <c r="D86" s="75">
        <v>4380</v>
      </c>
      <c r="E86" s="75">
        <v>360</v>
      </c>
    </row>
    <row r="87" spans="1:5" ht="15.6" x14ac:dyDescent="0.3">
      <c r="A87" s="1873" t="s">
        <v>580</v>
      </c>
      <c r="B87" s="205"/>
      <c r="C87" s="203" t="s">
        <v>579</v>
      </c>
      <c r="D87" s="75">
        <v>2920</v>
      </c>
      <c r="E87" s="75">
        <v>120</v>
      </c>
    </row>
    <row r="88" spans="1:5" ht="46.8" x14ac:dyDescent="0.3">
      <c r="A88" s="1874"/>
      <c r="B88" s="204" t="s">
        <v>581</v>
      </c>
      <c r="C88" s="203" t="s">
        <v>579</v>
      </c>
      <c r="D88" s="75">
        <v>8760</v>
      </c>
      <c r="E88" s="75">
        <v>240</v>
      </c>
    </row>
    <row r="89" spans="1:5" ht="15.6" x14ac:dyDescent="0.3">
      <c r="A89" s="1874"/>
      <c r="B89" s="204" t="s">
        <v>582</v>
      </c>
      <c r="C89" s="203"/>
    </row>
    <row r="90" spans="1:5" ht="31.2" x14ac:dyDescent="0.3">
      <c r="A90" s="1874"/>
      <c r="B90" s="204" t="s">
        <v>583</v>
      </c>
      <c r="C90" s="203" t="s">
        <v>579</v>
      </c>
      <c r="D90" s="75">
        <v>300</v>
      </c>
    </row>
    <row r="91" spans="1:5" ht="46.8" x14ac:dyDescent="0.3">
      <c r="A91" s="1875"/>
      <c r="B91" s="206" t="s">
        <v>584</v>
      </c>
      <c r="C91" s="203" t="s">
        <v>579</v>
      </c>
      <c r="D91" s="75">
        <v>100</v>
      </c>
    </row>
    <row r="92" spans="1:5" ht="15.6" x14ac:dyDescent="0.3">
      <c r="A92" s="204" t="s">
        <v>585</v>
      </c>
      <c r="B92" s="205"/>
      <c r="C92" s="203" t="s">
        <v>579</v>
      </c>
      <c r="D92" s="75">
        <v>40</v>
      </c>
    </row>
    <row r="93" spans="1:5" ht="15.6" x14ac:dyDescent="0.3">
      <c r="B93" s="203" t="s">
        <v>586</v>
      </c>
      <c r="C93" s="203" t="s">
        <v>586</v>
      </c>
      <c r="D93" s="75">
        <v>2200</v>
      </c>
      <c r="E93" s="75">
        <v>1460</v>
      </c>
    </row>
    <row r="94" spans="1:5" ht="18.600000000000001" thickBot="1" x14ac:dyDescent="0.35">
      <c r="A94" s="207" t="s">
        <v>587</v>
      </c>
    </row>
    <row r="95" spans="1:5" ht="16.2" thickBot="1" x14ac:dyDescent="0.35">
      <c r="A95" s="200" t="s">
        <v>588</v>
      </c>
    </row>
    <row r="96" spans="1:5" ht="18.600000000000001" thickBot="1" x14ac:dyDescent="0.35">
      <c r="A96" s="208" t="s">
        <v>590</v>
      </c>
      <c r="B96" s="209" t="s">
        <v>589</v>
      </c>
    </row>
    <row r="97" spans="1:2" ht="16.2" thickBot="1" x14ac:dyDescent="0.35">
      <c r="A97" s="208" t="s">
        <v>591</v>
      </c>
      <c r="B97" s="210">
        <v>1</v>
      </c>
    </row>
    <row r="98" spans="1:2" ht="16.2" thickBot="1" x14ac:dyDescent="0.35">
      <c r="A98" s="208" t="s">
        <v>593</v>
      </c>
      <c r="B98" s="210" t="s">
        <v>592</v>
      </c>
    </row>
    <row r="99" spans="1:2" ht="16.2" thickBot="1" x14ac:dyDescent="0.35">
      <c r="A99" s="208" t="s">
        <v>595</v>
      </c>
      <c r="B99" s="210" t="s">
        <v>594</v>
      </c>
    </row>
    <row r="100" spans="1:2" ht="16.2" thickBot="1" x14ac:dyDescent="0.35">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09375" defaultRowHeight="14.4" x14ac:dyDescent="0.3"/>
  <cols>
    <col min="1" max="1" width="44" style="75" customWidth="1"/>
    <col min="2" max="2" width="21.6640625" style="75" customWidth="1"/>
    <col min="3" max="3" width="23.5546875" style="75" customWidth="1"/>
    <col min="4" max="4" width="9.109375" style="75"/>
    <col min="5" max="5" width="11.44140625" style="75" customWidth="1"/>
    <col min="6" max="7" width="9.109375" style="75"/>
    <col min="8" max="8" width="9.109375" style="225"/>
    <col min="9" max="9" width="46" style="75" customWidth="1"/>
    <col min="10" max="15" width="9.109375" style="75"/>
    <col min="16" max="16" width="9.109375" style="225"/>
    <col min="17" max="16384" width="9.109375" style="75"/>
  </cols>
  <sheetData>
    <row r="1" spans="1:59" ht="62.25" customHeight="1" x14ac:dyDescent="0.55000000000000004">
      <c r="A1" s="1763" t="s">
        <v>1462</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3">
      <c r="H2" s="84"/>
      <c r="I2" s="84"/>
      <c r="J2" s="84"/>
      <c r="K2" s="84"/>
      <c r="L2" s="84"/>
      <c r="M2" s="84"/>
      <c r="N2" s="84"/>
      <c r="O2" s="84"/>
      <c r="P2" s="84"/>
      <c r="Q2" s="84"/>
    </row>
    <row r="3" spans="1:59" x14ac:dyDescent="0.3">
      <c r="A3" s="1885" t="s">
        <v>1463</v>
      </c>
      <c r="B3" s="1886" t="s">
        <v>919</v>
      </c>
      <c r="C3" s="1887" t="s">
        <v>1004</v>
      </c>
      <c r="D3" s="1887" t="s">
        <v>790</v>
      </c>
      <c r="F3" s="211">
        <v>1</v>
      </c>
      <c r="H3" s="84"/>
      <c r="I3" s="84"/>
      <c r="J3" s="84"/>
      <c r="K3" s="84"/>
      <c r="L3" s="84"/>
      <c r="M3" s="84"/>
      <c r="N3" s="84"/>
      <c r="O3" s="84"/>
      <c r="P3" s="84"/>
      <c r="Q3" s="84"/>
    </row>
    <row r="4" spans="1:59" x14ac:dyDescent="0.3">
      <c r="A4" s="1885"/>
      <c r="B4" s="1886"/>
      <c r="C4" s="1887"/>
      <c r="D4" s="1887"/>
      <c r="E4" s="212">
        <v>2</v>
      </c>
      <c r="F4" s="101" t="s">
        <v>732</v>
      </c>
      <c r="H4" s="212">
        <f>IF(F3=2,0,1)</f>
        <v>1</v>
      </c>
      <c r="J4" s="84"/>
      <c r="K4" s="84"/>
      <c r="L4" s="84"/>
      <c r="M4" s="84"/>
      <c r="N4" s="84"/>
      <c r="O4" s="84"/>
      <c r="P4" s="84"/>
      <c r="Q4" s="84"/>
    </row>
    <row r="5" spans="1:59" x14ac:dyDescent="0.3">
      <c r="A5" s="213" t="s">
        <v>820</v>
      </c>
      <c r="B5" s="214" t="s">
        <v>789</v>
      </c>
      <c r="C5" s="214">
        <f>195-D5</f>
        <v>110</v>
      </c>
      <c r="D5" s="82">
        <f>85</f>
        <v>85</v>
      </c>
      <c r="E5" s="211">
        <f>IF($E$4=1,1,0)</f>
        <v>0</v>
      </c>
      <c r="F5" s="215" t="s">
        <v>814</v>
      </c>
      <c r="H5" s="84"/>
      <c r="I5" s="84"/>
      <c r="J5" s="84"/>
      <c r="K5" s="84"/>
      <c r="L5" s="84"/>
      <c r="M5" s="84"/>
      <c r="N5" s="84"/>
      <c r="O5" s="84"/>
      <c r="P5" s="84"/>
      <c r="Q5" s="84"/>
    </row>
    <row r="6" spans="1:59" ht="26.4" x14ac:dyDescent="0.3">
      <c r="A6" s="213" t="s">
        <v>819</v>
      </c>
      <c r="B6" s="214" t="s">
        <v>789</v>
      </c>
      <c r="C6" s="214">
        <f>230-D6</f>
        <v>140</v>
      </c>
      <c r="D6" s="82">
        <f>90</f>
        <v>90</v>
      </c>
      <c r="E6" s="211">
        <f>IF($E$4=2,1,0)</f>
        <v>1</v>
      </c>
      <c r="F6" s="215" t="s">
        <v>815</v>
      </c>
      <c r="H6" s="84"/>
      <c r="I6" s="84"/>
      <c r="J6" s="84"/>
      <c r="K6" s="84"/>
      <c r="L6" s="84"/>
      <c r="M6" s="84"/>
      <c r="N6" s="84"/>
      <c r="O6" s="84"/>
      <c r="P6" s="84"/>
      <c r="Q6" s="84"/>
    </row>
    <row r="7" spans="1:59" ht="26.4" x14ac:dyDescent="0.3">
      <c r="A7" s="213" t="s">
        <v>818</v>
      </c>
      <c r="B7" s="214" t="s">
        <v>789</v>
      </c>
      <c r="C7" s="214">
        <f>250-D7</f>
        <v>145</v>
      </c>
      <c r="D7" s="82">
        <f>105</f>
        <v>105</v>
      </c>
      <c r="E7" s="211">
        <f>IF($E$4=3,1,0)</f>
        <v>0</v>
      </c>
      <c r="F7" s="215" t="s">
        <v>813</v>
      </c>
      <c r="H7" s="84"/>
      <c r="I7" s="84"/>
      <c r="J7" s="84"/>
      <c r="K7" s="84"/>
      <c r="L7" s="84"/>
      <c r="M7" s="84"/>
      <c r="N7" s="84"/>
      <c r="O7" s="84"/>
      <c r="P7" s="84"/>
      <c r="Q7" s="84"/>
    </row>
    <row r="8" spans="1:59" ht="26.4" x14ac:dyDescent="0.3">
      <c r="A8" s="216" t="s">
        <v>816</v>
      </c>
      <c r="B8" s="214" t="s">
        <v>789</v>
      </c>
      <c r="C8" s="214">
        <f>250-D8</f>
        <v>150</v>
      </c>
      <c r="D8" s="82">
        <f>100</f>
        <v>100</v>
      </c>
      <c r="E8" s="211">
        <f>IF($E$4=4,1,0)</f>
        <v>0</v>
      </c>
      <c r="F8" s="217" t="s">
        <v>812</v>
      </c>
      <c r="H8" s="84"/>
      <c r="I8" s="84"/>
      <c r="J8" s="84"/>
      <c r="K8" s="84"/>
      <c r="L8" s="84"/>
      <c r="M8" s="84"/>
      <c r="N8" s="84"/>
      <c r="O8" s="84"/>
      <c r="P8" s="84"/>
      <c r="Q8" s="84"/>
    </row>
    <row r="9" spans="1:59" ht="26.4" x14ac:dyDescent="0.3">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3">
      <c r="H10" s="84"/>
      <c r="I10" s="84"/>
      <c r="J10" s="218"/>
      <c r="K10" s="219"/>
      <c r="L10" s="220"/>
      <c r="M10" s="84"/>
      <c r="N10" s="84"/>
      <c r="O10" s="84"/>
      <c r="P10" s="84"/>
      <c r="Q10" s="84"/>
    </row>
    <row r="11" spans="1:59" x14ac:dyDescent="0.3">
      <c r="B11" s="221">
        <f>IF(F14=1,1,0)</f>
        <v>0</v>
      </c>
      <c r="C11" s="221">
        <f>IF(F14=0,1,0)</f>
        <v>1</v>
      </c>
      <c r="H11" s="84"/>
      <c r="I11" s="84"/>
      <c r="J11" s="84"/>
      <c r="K11" s="84"/>
      <c r="L11" s="84"/>
      <c r="M11" s="84"/>
      <c r="N11" s="84"/>
      <c r="O11" s="84"/>
      <c r="P11" s="84"/>
      <c r="Q11" s="84"/>
    </row>
    <row r="12" spans="1:59" ht="15.6" x14ac:dyDescent="0.35">
      <c r="A12" s="1887" t="s">
        <v>791</v>
      </c>
      <c r="B12" s="1888" t="s">
        <v>797</v>
      </c>
      <c r="C12" s="1888"/>
      <c r="E12" s="75">
        <f>SUMPRODUCT(D14:D17,B14:B17)*B11+SUMPRODUCT(D14:D17,C14:C17)*C11</f>
        <v>0.2</v>
      </c>
      <c r="H12" s="84"/>
      <c r="I12" s="84"/>
      <c r="J12" s="84"/>
      <c r="K12" s="84"/>
      <c r="L12" s="84"/>
      <c r="M12" s="84"/>
      <c r="N12" s="84"/>
      <c r="O12" s="84"/>
      <c r="P12" s="84"/>
      <c r="Q12" s="84"/>
    </row>
    <row r="13" spans="1:59" ht="87.6" customHeight="1" x14ac:dyDescent="0.3">
      <c r="A13" s="1887"/>
      <c r="B13" s="222" t="s">
        <v>796</v>
      </c>
      <c r="C13" s="222" t="s">
        <v>1464</v>
      </c>
      <c r="F13" s="211"/>
      <c r="G13" s="211">
        <f>IF(F20=1,1,IF(F21=1,2,0))</f>
        <v>2</v>
      </c>
      <c r="H13" s="84"/>
      <c r="I13" s="84"/>
      <c r="J13" s="84"/>
      <c r="K13" s="84"/>
      <c r="L13" s="84"/>
      <c r="M13" s="84"/>
      <c r="N13" s="84"/>
      <c r="O13" s="84"/>
      <c r="P13" s="84"/>
      <c r="Q13" s="84"/>
    </row>
    <row r="14" spans="1:59" ht="26.4" x14ac:dyDescent="0.3">
      <c r="A14" s="223" t="s">
        <v>792</v>
      </c>
      <c r="B14" s="224">
        <f>0.25</f>
        <v>0.25</v>
      </c>
      <c r="C14" s="224">
        <f>0.2</f>
        <v>0.2</v>
      </c>
      <c r="D14" s="75">
        <f>IF(AND($F$15=1,$F$16=1),1,0)</f>
        <v>0</v>
      </c>
      <c r="E14" s="75" t="s">
        <v>731</v>
      </c>
      <c r="F14" s="211">
        <f>IF(OR(G13=1),1,0)</f>
        <v>0</v>
      </c>
      <c r="G14" s="211" t="b">
        <v>1</v>
      </c>
    </row>
    <row r="15" spans="1:59" ht="26.4" x14ac:dyDescent="0.3">
      <c r="A15" s="223" t="s">
        <v>793</v>
      </c>
      <c r="B15" s="224">
        <f>0.15</f>
        <v>0.15</v>
      </c>
      <c r="C15" s="224">
        <f>0.1</f>
        <v>0.1</v>
      </c>
      <c r="D15" s="75">
        <f>IF(AND($F$15=1,$F$16=0),1,0)</f>
        <v>0</v>
      </c>
      <c r="E15" s="75" t="s">
        <v>729</v>
      </c>
      <c r="F15" s="211">
        <f t="shared" ref="F15:F17" si="0">IF(G15=TRUE,1,0)</f>
        <v>0</v>
      </c>
      <c r="G15" s="211" t="b">
        <v>0</v>
      </c>
    </row>
    <row r="16" spans="1:59" ht="26.4" x14ac:dyDescent="0.3">
      <c r="A16" s="223" t="s">
        <v>794</v>
      </c>
      <c r="B16" s="224">
        <v>0.35</v>
      </c>
      <c r="C16" s="224">
        <v>0.3</v>
      </c>
      <c r="D16" s="75">
        <f>IF(AND($F$15=0,$F$16=1),1,0)</f>
        <v>0</v>
      </c>
      <c r="E16" s="75" t="s">
        <v>730</v>
      </c>
      <c r="F16" s="211">
        <f t="shared" si="0"/>
        <v>0</v>
      </c>
      <c r="G16" s="211" t="b">
        <v>0</v>
      </c>
    </row>
    <row r="17" spans="1:11" ht="26.4" x14ac:dyDescent="0.3">
      <c r="A17" s="223" t="s">
        <v>795</v>
      </c>
      <c r="B17" s="224">
        <f>0.25</f>
        <v>0.25</v>
      </c>
      <c r="C17" s="224">
        <f>0.2</f>
        <v>0.2</v>
      </c>
      <c r="D17" s="75">
        <f>IF(AND($F$15=0,$F$16=0),1,0)</f>
        <v>1</v>
      </c>
      <c r="E17" s="75" t="s">
        <v>1381</v>
      </c>
      <c r="F17" s="211">
        <f t="shared" si="0"/>
        <v>1</v>
      </c>
      <c r="G17" s="211" t="b">
        <v>1</v>
      </c>
    </row>
    <row r="18" spans="1:11" x14ac:dyDescent="0.3">
      <c r="F18" s="211"/>
      <c r="G18" s="211">
        <v>3</v>
      </c>
    </row>
    <row r="19" spans="1:11" x14ac:dyDescent="0.3">
      <c r="E19" s="75" t="s">
        <v>1382</v>
      </c>
      <c r="F19" s="211">
        <f>IF($G$18=1,1,0)</f>
        <v>0</v>
      </c>
      <c r="G19" s="211"/>
    </row>
    <row r="20" spans="1:11" x14ac:dyDescent="0.3">
      <c r="E20" s="75" t="s">
        <v>1555</v>
      </c>
      <c r="F20" s="211">
        <f>IF($G$18=2,1,0)</f>
        <v>0</v>
      </c>
      <c r="G20" s="211"/>
    </row>
    <row r="21" spans="1:11" x14ac:dyDescent="0.3">
      <c r="E21" s="75" t="s">
        <v>1556</v>
      </c>
      <c r="F21" s="211">
        <f>IF($G$18=3,1,0)</f>
        <v>1</v>
      </c>
      <c r="G21" s="211"/>
    </row>
    <row r="30" spans="1:11" ht="15" thickBot="1" x14ac:dyDescent="0.35"/>
    <row r="31" spans="1:11" ht="16.2" thickBot="1" x14ac:dyDescent="0.35">
      <c r="A31" s="226" t="s">
        <v>728</v>
      </c>
      <c r="B31" s="1883" t="s">
        <v>554</v>
      </c>
      <c r="C31" s="1884"/>
      <c r="I31" s="227" t="s">
        <v>920</v>
      </c>
    </row>
    <row r="32" spans="1:11" ht="63" thickBot="1" x14ac:dyDescent="0.35">
      <c r="A32" s="228"/>
      <c r="B32" s="229" t="s">
        <v>555</v>
      </c>
      <c r="C32" s="230" t="s">
        <v>556</v>
      </c>
      <c r="I32" s="1880" t="s">
        <v>1465</v>
      </c>
      <c r="J32" s="1880"/>
      <c r="K32" s="1880"/>
    </row>
    <row r="33" spans="1:15" ht="31.8" thickBot="1" x14ac:dyDescent="0.35">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2" thickBot="1" x14ac:dyDescent="0.35">
      <c r="A34" s="233" t="s">
        <v>495</v>
      </c>
      <c r="B34" s="233">
        <v>0.25</v>
      </c>
      <c r="C34" s="233">
        <v>0.2</v>
      </c>
      <c r="D34" s="233">
        <f>IF((G15=TRUE)*AND(G16=TRUE)*AND(G14=TRUE),1,0)</f>
        <v>0</v>
      </c>
      <c r="E34" s="233">
        <f>IF((G15=TRUE)*AND(G16=TRUE)*AND(G14=FALSE),1,0)</f>
        <v>0</v>
      </c>
      <c r="I34" s="234" t="s">
        <v>1466</v>
      </c>
      <c r="J34" s="1881"/>
      <c r="K34" s="1882"/>
    </row>
    <row r="35" spans="1:15" ht="31.8" thickBot="1" x14ac:dyDescent="0.35">
      <c r="A35" s="231" t="s">
        <v>558</v>
      </c>
      <c r="B35" s="229">
        <v>0.35</v>
      </c>
      <c r="C35" s="229">
        <v>0.3</v>
      </c>
      <c r="D35" s="229">
        <f>IF((G15=FALSE)*AND(G16=TRUE)*AND(G14=TRUE),1,0)</f>
        <v>0</v>
      </c>
      <c r="E35" s="229">
        <f>IF((G15=FALSE)*AND(G16=TRUE)*AND(G14=FALSE),1,0)</f>
        <v>0</v>
      </c>
      <c r="I35" s="235"/>
      <c r="J35" s="236" t="s">
        <v>598</v>
      </c>
      <c r="K35" s="236" t="s">
        <v>599</v>
      </c>
    </row>
    <row r="36" spans="1:15" ht="15" thickBot="1" x14ac:dyDescent="0.35">
      <c r="I36" s="237" t="s">
        <v>600</v>
      </c>
      <c r="J36" s="238">
        <v>40</v>
      </c>
      <c r="K36" s="238">
        <v>45</v>
      </c>
      <c r="N36" s="211"/>
    </row>
    <row r="37" spans="1:15" ht="15" thickBot="1" x14ac:dyDescent="0.35">
      <c r="I37" s="237" t="s">
        <v>601</v>
      </c>
      <c r="J37" s="238">
        <v>48</v>
      </c>
      <c r="K37" s="238">
        <v>55</v>
      </c>
      <c r="M37" s="95"/>
      <c r="N37" s="239">
        <v>1</v>
      </c>
      <c r="O37" s="239"/>
    </row>
    <row r="38" spans="1:15" ht="42" thickBot="1" x14ac:dyDescent="0.35">
      <c r="I38" s="237" t="s">
        <v>602</v>
      </c>
      <c r="J38" s="238">
        <v>60</v>
      </c>
      <c r="K38" s="238">
        <v>70</v>
      </c>
      <c r="L38" s="75">
        <f>IF((N38=0)*AND(N39=1),1,0)</f>
        <v>0</v>
      </c>
      <c r="M38" s="95" t="s">
        <v>732</v>
      </c>
      <c r="N38" s="239">
        <f>IF(N37=1,1,0)</f>
        <v>1</v>
      </c>
      <c r="O38" s="239"/>
    </row>
    <row r="39" spans="1:15" ht="15" thickBot="1" x14ac:dyDescent="0.35">
      <c r="I39" s="237" t="s">
        <v>603</v>
      </c>
      <c r="J39" s="238">
        <v>85</v>
      </c>
      <c r="K39" s="238">
        <v>95</v>
      </c>
      <c r="L39" s="75">
        <f>IF((N38=0)*AND(N41=0)*AND(N40=1),1,0)</f>
        <v>0</v>
      </c>
      <c r="M39" s="95" t="s">
        <v>733</v>
      </c>
      <c r="N39" s="239">
        <f>IF(N37=2,1,0)</f>
        <v>0</v>
      </c>
      <c r="O39" s="239"/>
    </row>
    <row r="40" spans="1:15" ht="28.2" thickBot="1" x14ac:dyDescent="0.35">
      <c r="I40" s="237" t="s">
        <v>604</v>
      </c>
      <c r="J40" s="238">
        <v>95</v>
      </c>
      <c r="K40" s="238">
        <v>105</v>
      </c>
      <c r="L40" s="75">
        <f>IF((N38=1)*AND(N41=0),1,0)</f>
        <v>0</v>
      </c>
      <c r="M40" s="95" t="s">
        <v>734</v>
      </c>
      <c r="N40" s="239">
        <f>IF(N37=3,1,0)</f>
        <v>0</v>
      </c>
      <c r="O40" s="239"/>
    </row>
    <row r="41" spans="1:15" ht="15" thickBot="1" x14ac:dyDescent="0.35">
      <c r="I41" s="237" t="s">
        <v>605</v>
      </c>
      <c r="J41" s="238">
        <v>100</v>
      </c>
      <c r="K41" s="238">
        <v>115</v>
      </c>
      <c r="L41" s="75">
        <f>IF((N38=1)*AND(N41=1),1,0)</f>
        <v>1</v>
      </c>
      <c r="M41" s="95" t="s">
        <v>735</v>
      </c>
      <c r="N41" s="239">
        <f>IF(O41=TRUE,1,0)</f>
        <v>1</v>
      </c>
      <c r="O41" s="239" t="b">
        <v>1</v>
      </c>
    </row>
    <row r="43" spans="1:15" ht="15" thickBot="1" x14ac:dyDescent="0.35">
      <c r="A43" s="240" t="s">
        <v>736</v>
      </c>
      <c r="B43" s="240"/>
    </row>
    <row r="44" spans="1:15" ht="34.200000000000003" thickBot="1" x14ac:dyDescent="0.35">
      <c r="A44" s="200" t="s">
        <v>549</v>
      </c>
      <c r="B44" s="209" t="s">
        <v>550</v>
      </c>
    </row>
    <row r="45" spans="1:15" ht="16.2" thickBot="1" x14ac:dyDescent="0.35">
      <c r="A45" s="241">
        <v>150</v>
      </c>
      <c r="B45" s="210">
        <v>5.15</v>
      </c>
    </row>
    <row r="46" spans="1:15" ht="16.2" thickBot="1" x14ac:dyDescent="0.35">
      <c r="A46" s="241">
        <v>250</v>
      </c>
      <c r="B46" s="210">
        <v>4.5</v>
      </c>
    </row>
    <row r="47" spans="1:15" ht="16.2" thickBot="1" x14ac:dyDescent="0.35">
      <c r="A47" s="241">
        <v>350</v>
      </c>
      <c r="B47" s="210">
        <v>4.0999999999999996</v>
      </c>
    </row>
    <row r="48" spans="1:15" ht="16.2" thickBot="1" x14ac:dyDescent="0.35">
      <c r="A48" s="241">
        <v>500</v>
      </c>
      <c r="B48" s="210">
        <v>3.75</v>
      </c>
    </row>
    <row r="49" spans="1:2" ht="16.2" thickBot="1" x14ac:dyDescent="0.35">
      <c r="A49" s="241">
        <v>700</v>
      </c>
      <c r="B49" s="210">
        <v>3.5</v>
      </c>
    </row>
    <row r="50" spans="1:2" ht="16.2" thickBot="1" x14ac:dyDescent="0.35">
      <c r="A50" s="242">
        <v>1000</v>
      </c>
      <c r="B50" s="210">
        <v>3.27</v>
      </c>
    </row>
    <row r="51" spans="1:2" ht="16.2" thickBot="1" x14ac:dyDescent="0.35">
      <c r="A51" s="242">
        <v>1500</v>
      </c>
      <c r="B51" s="210">
        <v>3.09</v>
      </c>
    </row>
    <row r="52" spans="1:2" ht="16.2" thickBot="1" x14ac:dyDescent="0.35">
      <c r="A52" s="242">
        <v>2000</v>
      </c>
      <c r="B52" s="210">
        <v>2.97</v>
      </c>
    </row>
    <row r="53" spans="1:2" ht="16.2" thickBot="1" x14ac:dyDescent="0.35">
      <c r="A53" s="242">
        <v>3000</v>
      </c>
      <c r="B53" s="210">
        <v>2.85</v>
      </c>
    </row>
    <row r="54" spans="1:2" ht="16.2" thickBot="1" x14ac:dyDescent="0.35">
      <c r="A54" s="242">
        <v>5000</v>
      </c>
      <c r="B54" s="210">
        <v>2.74</v>
      </c>
    </row>
    <row r="59" spans="1:2" x14ac:dyDescent="0.3">
      <c r="A59" s="243">
        <v>150</v>
      </c>
      <c r="B59" s="97">
        <v>5.15</v>
      </c>
    </row>
    <row r="60" spans="1:2" x14ac:dyDescent="0.3">
      <c r="A60" s="243">
        <v>250</v>
      </c>
      <c r="B60" s="243">
        <v>4.5</v>
      </c>
    </row>
    <row r="61" spans="1:2" x14ac:dyDescent="0.3">
      <c r="A61" s="243">
        <v>350</v>
      </c>
      <c r="B61" s="243">
        <v>4.0999999999999996</v>
      </c>
    </row>
    <row r="62" spans="1:2" x14ac:dyDescent="0.3">
      <c r="A62" s="243">
        <v>500</v>
      </c>
      <c r="B62" s="243">
        <v>3.75</v>
      </c>
    </row>
    <row r="63" spans="1:2" x14ac:dyDescent="0.3">
      <c r="A63" s="243">
        <v>700</v>
      </c>
      <c r="B63" s="243">
        <v>3.5</v>
      </c>
    </row>
    <row r="64" spans="1:2" x14ac:dyDescent="0.3">
      <c r="A64" s="243">
        <v>1000</v>
      </c>
      <c r="B64" s="243">
        <v>3.27</v>
      </c>
    </row>
    <row r="65" spans="1:2" x14ac:dyDescent="0.3">
      <c r="A65" s="243">
        <v>1500</v>
      </c>
      <c r="B65" s="243">
        <v>3.09</v>
      </c>
    </row>
    <row r="66" spans="1:2" x14ac:dyDescent="0.3">
      <c r="A66" s="243">
        <v>2000</v>
      </c>
      <c r="B66" s="243">
        <v>2.97</v>
      </c>
    </row>
    <row r="67" spans="1:2" x14ac:dyDescent="0.3">
      <c r="A67" s="243">
        <v>2500</v>
      </c>
      <c r="B67" s="243">
        <v>2.9</v>
      </c>
    </row>
    <row r="68" spans="1:2" x14ac:dyDescent="0.3">
      <c r="A68" s="243">
        <v>3000</v>
      </c>
      <c r="B68" s="243">
        <v>2.85</v>
      </c>
    </row>
    <row r="69" spans="1:2" x14ac:dyDescent="0.3">
      <c r="A69" s="243">
        <v>4000</v>
      </c>
      <c r="B69" s="243">
        <v>2.78</v>
      </c>
    </row>
    <row r="70" spans="1:2" x14ac:dyDescent="0.3">
      <c r="A70" s="243">
        <v>5000</v>
      </c>
      <c r="B70" s="243">
        <v>2.74</v>
      </c>
    </row>
    <row r="71" spans="1:2" x14ac:dyDescent="0.3">
      <c r="A71" s="243">
        <v>6000</v>
      </c>
      <c r="B71" s="243">
        <v>2.7</v>
      </c>
    </row>
    <row r="72" spans="1:2" x14ac:dyDescent="0.3">
      <c r="A72" s="243">
        <v>7500</v>
      </c>
      <c r="B72" s="243">
        <v>2.65</v>
      </c>
    </row>
    <row r="73" spans="1:2" x14ac:dyDescent="0.3">
      <c r="A73" s="243">
        <v>10000</v>
      </c>
      <c r="B73" s="243">
        <v>2.6</v>
      </c>
    </row>
    <row r="74" spans="1:2" x14ac:dyDescent="0.3">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R543"/>
  <sheetViews>
    <sheetView topLeftCell="O31" workbookViewId="0">
      <selection activeCell="A31" sqref="A1:N1048576"/>
    </sheetView>
  </sheetViews>
  <sheetFormatPr defaultColWidth="3.33203125" defaultRowHeight="14.4" x14ac:dyDescent="0.3"/>
  <cols>
    <col min="1" max="1" width="3.33203125" style="75" hidden="1" customWidth="1"/>
    <col min="2" max="3" width="15" style="75" hidden="1" customWidth="1"/>
    <col min="4" max="4" width="23.88671875" style="75" hidden="1" customWidth="1"/>
    <col min="5" max="14" width="3.33203125" style="75" hidden="1" customWidth="1"/>
    <col min="15" max="66" width="3.33203125" style="75" customWidth="1"/>
    <col min="67" max="16384" width="3.33203125" style="75"/>
  </cols>
  <sheetData>
    <row r="1" spans="2:44" x14ac:dyDescent="0.3">
      <c r="B1" s="75" t="s">
        <v>447</v>
      </c>
      <c r="D1" s="75" t="s">
        <v>442</v>
      </c>
      <c r="F1" s="75" t="s">
        <v>459</v>
      </c>
      <c r="N1" s="75" t="s">
        <v>465</v>
      </c>
    </row>
    <row r="2" spans="2:44" x14ac:dyDescent="0.3">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6" x14ac:dyDescent="0.3">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6" x14ac:dyDescent="0.3">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6" x14ac:dyDescent="0.3">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6" x14ac:dyDescent="0.3">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6" x14ac:dyDescent="0.3">
      <c r="B7" s="95" t="s">
        <v>1940</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6" x14ac:dyDescent="0.3">
      <c r="B8" s="75" t="s">
        <v>1941</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6" x14ac:dyDescent="0.3">
      <c r="B9" s="95" t="s">
        <v>1490</v>
      </c>
      <c r="D9" s="75" t="s">
        <v>454</v>
      </c>
      <c r="F9" s="250" t="s">
        <v>409</v>
      </c>
      <c r="G9" s="251">
        <v>9</v>
      </c>
      <c r="J9" s="257" t="s">
        <v>0</v>
      </c>
      <c r="K9" s="258" t="s">
        <v>5</v>
      </c>
      <c r="R9" s="260" t="s">
        <v>481</v>
      </c>
      <c r="W9" s="265" t="s">
        <v>929</v>
      </c>
      <c r="AG9" s="75" t="str">
        <f>CONCATENATE($AC$6,", ",AE7)</f>
        <v>алюминий, одинарный</v>
      </c>
    </row>
    <row r="10" spans="2:44" ht="15.6" x14ac:dyDescent="0.3">
      <c r="B10" s="95" t="s">
        <v>1433</v>
      </c>
      <c r="D10" s="75" t="s">
        <v>455</v>
      </c>
      <c r="F10" s="255" t="s">
        <v>293</v>
      </c>
      <c r="G10" s="256">
        <v>10</v>
      </c>
      <c r="J10" s="257" t="s">
        <v>0</v>
      </c>
      <c r="K10" s="258" t="s">
        <v>6</v>
      </c>
      <c r="AI10" s="249" t="s">
        <v>1866</v>
      </c>
      <c r="AK10" s="249" t="s">
        <v>804</v>
      </c>
      <c r="AN10" s="75" t="s">
        <v>1301</v>
      </c>
    </row>
    <row r="11" spans="2:44" ht="15.6" x14ac:dyDescent="0.3">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6" x14ac:dyDescent="0.3">
      <c r="B12" s="266" t="s">
        <v>1435</v>
      </c>
      <c r="F12" s="255" t="s">
        <v>422</v>
      </c>
      <c r="G12" s="256">
        <v>12</v>
      </c>
      <c r="J12" s="257" t="s">
        <v>13</v>
      </c>
      <c r="K12" s="258" t="s">
        <v>633</v>
      </c>
      <c r="R12" s="253"/>
      <c r="AI12" s="99">
        <f ca="1">YEAR(TODAY())</f>
        <v>2017</v>
      </c>
      <c r="AK12" s="75" t="s">
        <v>536</v>
      </c>
      <c r="AL12" s="75">
        <v>2</v>
      </c>
      <c r="AM12" s="75">
        <v>28</v>
      </c>
      <c r="AN12" s="262" t="s">
        <v>1318</v>
      </c>
    </row>
    <row r="13" spans="2:44" ht="15.6" x14ac:dyDescent="0.3">
      <c r="B13" s="95" t="s">
        <v>1436</v>
      </c>
      <c r="F13" s="250" t="s">
        <v>95</v>
      </c>
      <c r="G13" s="251">
        <v>13</v>
      </c>
      <c r="J13" s="257" t="s">
        <v>13</v>
      </c>
      <c r="K13" s="258" t="s">
        <v>14</v>
      </c>
      <c r="R13" s="260"/>
      <c r="AK13" s="75" t="s">
        <v>537</v>
      </c>
      <c r="AL13" s="75">
        <v>3</v>
      </c>
      <c r="AM13" s="75">
        <v>31</v>
      </c>
      <c r="AN13" s="262" t="s">
        <v>978</v>
      </c>
    </row>
    <row r="14" spans="2:44" ht="15.6" x14ac:dyDescent="0.3">
      <c r="B14" s="95" t="s">
        <v>445</v>
      </c>
      <c r="F14" s="255" t="s">
        <v>255</v>
      </c>
      <c r="G14" s="256">
        <v>14</v>
      </c>
      <c r="J14" s="257" t="s">
        <v>13</v>
      </c>
      <c r="K14" s="258" t="s">
        <v>15</v>
      </c>
      <c r="R14" s="260"/>
      <c r="AK14" s="75" t="s">
        <v>538</v>
      </c>
      <c r="AL14" s="75">
        <v>4</v>
      </c>
      <c r="AM14" s="75">
        <v>30</v>
      </c>
      <c r="AN14" s="262" t="s">
        <v>979</v>
      </c>
    </row>
    <row r="15" spans="2:44" ht="15.6" x14ac:dyDescent="0.3">
      <c r="B15" s="95" t="s">
        <v>1629</v>
      </c>
      <c r="F15" s="250" t="s">
        <v>91</v>
      </c>
      <c r="G15" s="251">
        <v>15</v>
      </c>
      <c r="J15" s="257" t="s">
        <v>13</v>
      </c>
      <c r="K15" s="258" t="s">
        <v>16</v>
      </c>
      <c r="M15" s="249" t="s">
        <v>613</v>
      </c>
      <c r="O15" s="249" t="s">
        <v>1247</v>
      </c>
      <c r="R15" s="259"/>
      <c r="AK15" s="75" t="s">
        <v>724</v>
      </c>
      <c r="AL15" s="75">
        <v>5</v>
      </c>
      <c r="AM15" s="75">
        <v>31</v>
      </c>
      <c r="AN15" s="262" t="s">
        <v>980</v>
      </c>
    </row>
    <row r="16" spans="2:44" ht="15.6" x14ac:dyDescent="0.3">
      <c r="B16" s="75" t="s">
        <v>1630</v>
      </c>
      <c r="F16" s="255" t="s">
        <v>71</v>
      </c>
      <c r="G16" s="256">
        <v>16</v>
      </c>
      <c r="J16" s="257" t="s">
        <v>13</v>
      </c>
      <c r="K16" s="258" t="s">
        <v>17</v>
      </c>
      <c r="M16" s="254" t="s">
        <v>1269</v>
      </c>
      <c r="O16" s="254" t="s">
        <v>1268</v>
      </c>
      <c r="R16" s="260"/>
      <c r="AK16" s="75" t="s">
        <v>725</v>
      </c>
      <c r="AL16" s="75">
        <v>6</v>
      </c>
      <c r="AM16" s="75">
        <v>30</v>
      </c>
    </row>
    <row r="17" spans="2:40" ht="15.6" x14ac:dyDescent="0.3">
      <c r="B17" s="95" t="s">
        <v>1437</v>
      </c>
      <c r="F17" s="250" t="s">
        <v>614</v>
      </c>
      <c r="G17" s="251">
        <v>17</v>
      </c>
      <c r="J17" s="257" t="s">
        <v>13</v>
      </c>
      <c r="K17" s="258" t="s">
        <v>18</v>
      </c>
      <c r="M17" s="75" t="s">
        <v>1248</v>
      </c>
      <c r="O17" s="95">
        <v>5</v>
      </c>
      <c r="R17" s="259"/>
      <c r="AK17" s="75" t="s">
        <v>720</v>
      </c>
      <c r="AL17" s="75">
        <v>7</v>
      </c>
      <c r="AM17" s="75">
        <v>31</v>
      </c>
    </row>
    <row r="18" spans="2:40" ht="15.6" x14ac:dyDescent="0.3">
      <c r="B18" s="95" t="s">
        <v>1438</v>
      </c>
      <c r="F18" s="255" t="s">
        <v>100</v>
      </c>
      <c r="G18" s="256">
        <v>18</v>
      </c>
      <c r="J18" s="257" t="s">
        <v>13</v>
      </c>
      <c r="K18" s="267" t="s">
        <v>23</v>
      </c>
      <c r="M18" s="75" t="s">
        <v>1249</v>
      </c>
      <c r="O18" s="95">
        <v>10</v>
      </c>
      <c r="R18" s="260"/>
      <c r="AK18" s="75" t="s">
        <v>721</v>
      </c>
      <c r="AL18" s="75">
        <v>8</v>
      </c>
      <c r="AM18" s="75">
        <v>31</v>
      </c>
    </row>
    <row r="19" spans="2:40" ht="15.6" x14ac:dyDescent="0.3">
      <c r="B19" s="95" t="s">
        <v>1439</v>
      </c>
      <c r="F19" s="250" t="s">
        <v>102</v>
      </c>
      <c r="G19" s="251">
        <v>19</v>
      </c>
      <c r="J19" s="257" t="s">
        <v>13</v>
      </c>
      <c r="K19" s="258" t="s">
        <v>20</v>
      </c>
      <c r="M19" s="75" t="s">
        <v>1250</v>
      </c>
      <c r="O19" s="95">
        <v>15</v>
      </c>
      <c r="AK19" s="75" t="s">
        <v>722</v>
      </c>
      <c r="AL19" s="75">
        <v>9</v>
      </c>
      <c r="AM19" s="75">
        <v>30</v>
      </c>
    </row>
    <row r="20" spans="2:40" ht="15.6" x14ac:dyDescent="0.3">
      <c r="B20" s="268" t="s">
        <v>1440</v>
      </c>
      <c r="F20" s="255" t="s">
        <v>615</v>
      </c>
      <c r="G20" s="256">
        <v>20</v>
      </c>
      <c r="J20" s="257" t="s">
        <v>13</v>
      </c>
      <c r="K20" s="258" t="s">
        <v>22</v>
      </c>
      <c r="M20" s="75" t="s">
        <v>1530</v>
      </c>
      <c r="O20" s="95">
        <v>20</v>
      </c>
      <c r="R20" s="248"/>
      <c r="AK20" s="75" t="s">
        <v>727</v>
      </c>
      <c r="AL20" s="75">
        <v>10</v>
      </c>
      <c r="AM20" s="75">
        <v>31</v>
      </c>
    </row>
    <row r="21" spans="2:40" ht="15.6" x14ac:dyDescent="0.3">
      <c r="B21" s="269" t="s">
        <v>1489</v>
      </c>
      <c r="F21" s="250" t="s">
        <v>616</v>
      </c>
      <c r="G21" s="251">
        <v>21</v>
      </c>
      <c r="J21" s="257" t="s">
        <v>13</v>
      </c>
      <c r="K21" s="258" t="s">
        <v>34</v>
      </c>
      <c r="O21" s="95">
        <v>25</v>
      </c>
      <c r="R21" s="253"/>
      <c r="AK21" s="75" t="s">
        <v>533</v>
      </c>
      <c r="AL21" s="75">
        <v>11</v>
      </c>
      <c r="AM21" s="75">
        <v>30</v>
      </c>
    </row>
    <row r="22" spans="2:40" ht="36" customHeight="1" x14ac:dyDescent="0.3">
      <c r="B22" s="268" t="s">
        <v>609</v>
      </c>
      <c r="F22" s="255" t="s">
        <v>113</v>
      </c>
      <c r="G22" s="256">
        <v>22</v>
      </c>
      <c r="J22" s="257" t="s">
        <v>13</v>
      </c>
      <c r="K22" s="258" t="s">
        <v>35</v>
      </c>
      <c r="M22" s="249" t="s">
        <v>1251</v>
      </c>
      <c r="O22" s="95">
        <v>30</v>
      </c>
      <c r="R22" s="259"/>
      <c r="AK22" s="75" t="s">
        <v>534</v>
      </c>
      <c r="AL22" s="75">
        <v>12</v>
      </c>
      <c r="AM22" s="75">
        <v>31</v>
      </c>
    </row>
    <row r="23" spans="2:40" ht="24" x14ac:dyDescent="0.3">
      <c r="B23" s="268" t="s">
        <v>1397</v>
      </c>
      <c r="F23" s="250" t="s">
        <v>142</v>
      </c>
      <c r="G23" s="251">
        <v>23</v>
      </c>
      <c r="J23" s="257" t="s">
        <v>13</v>
      </c>
      <c r="K23" s="258" t="s">
        <v>634</v>
      </c>
      <c r="M23" s="254" t="s">
        <v>1252</v>
      </c>
      <c r="R23" s="260"/>
      <c r="AK23" s="221"/>
    </row>
    <row r="24" spans="2:40" ht="15.6" x14ac:dyDescent="0.3">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42794</v>
      </c>
      <c r="AM24" s="1407"/>
    </row>
    <row r="25" spans="2:40" ht="15.6" x14ac:dyDescent="0.3">
      <c r="B25" s="270"/>
      <c r="F25" s="250" t="s">
        <v>159</v>
      </c>
      <c r="G25" s="251">
        <v>25</v>
      </c>
      <c r="J25" s="257" t="s">
        <v>13</v>
      </c>
      <c r="K25" s="258" t="s">
        <v>25</v>
      </c>
      <c r="R25" s="271"/>
      <c r="AN25" s="221"/>
    </row>
    <row r="26" spans="2:40" s="221" customFormat="1" ht="15.6" x14ac:dyDescent="0.3">
      <c r="B26" s="270"/>
      <c r="C26" s="75"/>
      <c r="D26" s="75"/>
      <c r="F26" s="255" t="s">
        <v>165</v>
      </c>
      <c r="G26" s="256">
        <v>26</v>
      </c>
      <c r="J26" s="257" t="s">
        <v>13</v>
      </c>
      <c r="K26" s="258" t="s">
        <v>29</v>
      </c>
      <c r="M26" s="75"/>
      <c r="N26" s="75"/>
      <c r="O26" s="75"/>
      <c r="P26" s="75"/>
      <c r="Q26" s="75"/>
      <c r="R26" s="75"/>
      <c r="S26" s="75"/>
      <c r="T26" s="75"/>
      <c r="AK26" s="75"/>
      <c r="AN26" s="75"/>
    </row>
    <row r="27" spans="2:40" ht="15.6" x14ac:dyDescent="0.3">
      <c r="B27" s="270"/>
      <c r="F27" s="272" t="s">
        <v>182</v>
      </c>
      <c r="G27" s="251">
        <v>27</v>
      </c>
      <c r="J27" s="257" t="s">
        <v>13</v>
      </c>
      <c r="K27" s="258" t="s">
        <v>27</v>
      </c>
      <c r="M27" s="249" t="s">
        <v>1255</v>
      </c>
      <c r="R27" s="248"/>
    </row>
    <row r="28" spans="2:40" ht="15.6" x14ac:dyDescent="0.3">
      <c r="B28" s="270"/>
      <c r="F28" s="255" t="s">
        <v>49</v>
      </c>
      <c r="G28" s="256">
        <v>28</v>
      </c>
      <c r="J28" s="257" t="s">
        <v>13</v>
      </c>
      <c r="K28" s="258" t="s">
        <v>28</v>
      </c>
      <c r="M28" s="254" t="s">
        <v>1269</v>
      </c>
      <c r="R28" s="253"/>
    </row>
    <row r="29" spans="2:40" ht="15.75" customHeight="1" x14ac:dyDescent="0.3">
      <c r="F29" s="250" t="s">
        <v>185</v>
      </c>
      <c r="G29" s="251">
        <v>29</v>
      </c>
      <c r="J29" s="257" t="s">
        <v>13</v>
      </c>
      <c r="K29" s="258" t="s">
        <v>30</v>
      </c>
      <c r="M29" s="75" t="s">
        <v>1253</v>
      </c>
      <c r="R29" s="260"/>
    </row>
    <row r="30" spans="2:40" ht="24" x14ac:dyDescent="0.3">
      <c r="B30" s="1524" t="s">
        <v>1527</v>
      </c>
      <c r="C30" s="1524"/>
      <c r="D30" s="1524"/>
      <c r="F30" s="255" t="s">
        <v>188</v>
      </c>
      <c r="G30" s="256">
        <v>30</v>
      </c>
      <c r="J30" s="257" t="s">
        <v>13</v>
      </c>
      <c r="K30" s="258" t="s">
        <v>31</v>
      </c>
      <c r="M30" s="75" t="s">
        <v>1254</v>
      </c>
      <c r="R30" s="260"/>
    </row>
    <row r="31" spans="2:40" ht="15.6" x14ac:dyDescent="0.3">
      <c r="B31" s="95" t="s">
        <v>519</v>
      </c>
      <c r="C31" s="239" t="b">
        <v>0</v>
      </c>
      <c r="D31" s="95">
        <f t="shared" ref="D31:D48" si="0">IF(C31=TRUE,1,0)</f>
        <v>0</v>
      </c>
      <c r="F31" s="250" t="s">
        <v>190</v>
      </c>
      <c r="G31" s="251">
        <v>31</v>
      </c>
      <c r="J31" s="257" t="s">
        <v>13</v>
      </c>
      <c r="K31" s="258" t="s">
        <v>32</v>
      </c>
      <c r="N31" s="101" t="s">
        <v>864</v>
      </c>
      <c r="R31" s="259"/>
    </row>
    <row r="32" spans="2:40" ht="15.6" x14ac:dyDescent="0.3">
      <c r="B32" s="95" t="s">
        <v>521</v>
      </c>
      <c r="C32" s="239" t="b">
        <v>0</v>
      </c>
      <c r="D32" s="95">
        <f t="shared" si="0"/>
        <v>0</v>
      </c>
      <c r="F32" s="255" t="s">
        <v>617</v>
      </c>
      <c r="G32" s="256">
        <v>32</v>
      </c>
      <c r="J32" s="257" t="s">
        <v>13</v>
      </c>
      <c r="K32" s="258" t="s">
        <v>33</v>
      </c>
      <c r="N32" s="254" t="s">
        <v>1271</v>
      </c>
      <c r="R32" s="260"/>
    </row>
    <row r="33" spans="2:25" ht="15.6" x14ac:dyDescent="0.3">
      <c r="B33" s="95" t="s">
        <v>518</v>
      </c>
      <c r="C33" s="239" t="b">
        <v>1</v>
      </c>
      <c r="D33" s="95">
        <f t="shared" si="0"/>
        <v>1</v>
      </c>
      <c r="F33" s="250" t="s">
        <v>52</v>
      </c>
      <c r="G33" s="251">
        <v>33</v>
      </c>
      <c r="J33" s="257" t="s">
        <v>13</v>
      </c>
      <c r="K33" s="258" t="s">
        <v>19</v>
      </c>
      <c r="N33" s="75" t="s">
        <v>1258</v>
      </c>
      <c r="R33" s="259"/>
    </row>
    <row r="34" spans="2:25" ht="15.6" x14ac:dyDescent="0.3">
      <c r="B34" s="95" t="s">
        <v>520</v>
      </c>
      <c r="C34" s="239" t="b">
        <v>1</v>
      </c>
      <c r="D34" s="95">
        <f t="shared" si="0"/>
        <v>1</v>
      </c>
      <c r="F34" s="255" t="s">
        <v>202</v>
      </c>
      <c r="G34" s="256">
        <v>34</v>
      </c>
      <c r="J34" s="257" t="s">
        <v>13</v>
      </c>
      <c r="K34" s="258" t="s">
        <v>26</v>
      </c>
      <c r="N34" s="75" t="s">
        <v>1259</v>
      </c>
    </row>
    <row r="35" spans="2:25" ht="15.6" x14ac:dyDescent="0.3">
      <c r="B35" s="98" t="s">
        <v>1389</v>
      </c>
      <c r="C35" s="273" t="b">
        <v>0</v>
      </c>
      <c r="D35" s="98">
        <f t="shared" si="0"/>
        <v>0</v>
      </c>
      <c r="F35" s="250" t="s">
        <v>618</v>
      </c>
      <c r="G35" s="251">
        <v>35</v>
      </c>
      <c r="J35" s="257" t="s">
        <v>13</v>
      </c>
      <c r="K35" s="258" t="s">
        <v>21</v>
      </c>
      <c r="N35" s="75" t="s">
        <v>1260</v>
      </c>
      <c r="R35" s="248"/>
    </row>
    <row r="36" spans="2:25" ht="15.6" x14ac:dyDescent="0.3">
      <c r="B36" s="98" t="s">
        <v>1390</v>
      </c>
      <c r="C36" s="273" t="b">
        <v>0</v>
      </c>
      <c r="D36" s="98">
        <f t="shared" si="0"/>
        <v>0</v>
      </c>
      <c r="F36" s="255" t="s">
        <v>67</v>
      </c>
      <c r="G36" s="256">
        <v>36</v>
      </c>
      <c r="J36" s="257" t="s">
        <v>36</v>
      </c>
      <c r="K36" s="258" t="s">
        <v>37</v>
      </c>
      <c r="N36" s="75" t="s">
        <v>1264</v>
      </c>
      <c r="R36" s="253"/>
    </row>
    <row r="37" spans="2:25" ht="15.6" x14ac:dyDescent="0.3">
      <c r="B37" s="98" t="s">
        <v>1391</v>
      </c>
      <c r="C37" s="273" t="b">
        <v>0</v>
      </c>
      <c r="D37" s="98">
        <f t="shared" si="0"/>
        <v>0</v>
      </c>
      <c r="F37" s="250" t="s">
        <v>226</v>
      </c>
      <c r="G37" s="251">
        <v>37</v>
      </c>
      <c r="J37" s="257" t="s">
        <v>36</v>
      </c>
      <c r="K37" s="258" t="s">
        <v>38</v>
      </c>
      <c r="N37" s="75" t="s">
        <v>1265</v>
      </c>
      <c r="R37" s="260"/>
    </row>
    <row r="38" spans="2:25" ht="15.6" x14ac:dyDescent="0.3">
      <c r="B38" s="98" t="s">
        <v>1393</v>
      </c>
      <c r="C38" s="273" t="b">
        <v>1</v>
      </c>
      <c r="D38" s="98">
        <f t="shared" si="0"/>
        <v>1</v>
      </c>
      <c r="F38" s="255" t="s">
        <v>229</v>
      </c>
      <c r="G38" s="256">
        <v>38</v>
      </c>
      <c r="J38" s="257" t="s">
        <v>36</v>
      </c>
      <c r="K38" s="258" t="s">
        <v>39</v>
      </c>
      <c r="N38" s="75" t="s">
        <v>1261</v>
      </c>
      <c r="R38" s="260"/>
    </row>
    <row r="39" spans="2:25" ht="15.6" x14ac:dyDescent="0.3">
      <c r="B39" s="98" t="s">
        <v>1394</v>
      </c>
      <c r="C39" s="273" t="b">
        <v>1</v>
      </c>
      <c r="D39" s="98">
        <f t="shared" si="0"/>
        <v>1</v>
      </c>
      <c r="F39" s="250" t="s">
        <v>238</v>
      </c>
      <c r="G39" s="251">
        <v>39</v>
      </c>
      <c r="J39" s="257" t="s">
        <v>36</v>
      </c>
      <c r="K39" s="258" t="s">
        <v>41</v>
      </c>
      <c r="N39" s="75" t="s">
        <v>1262</v>
      </c>
      <c r="R39" s="259"/>
    </row>
    <row r="40" spans="2:25" ht="15.6" x14ac:dyDescent="0.3">
      <c r="B40" s="98" t="s">
        <v>1495</v>
      </c>
      <c r="C40" s="273" t="b">
        <v>0</v>
      </c>
      <c r="D40" s="98">
        <f t="shared" si="0"/>
        <v>0</v>
      </c>
      <c r="F40" s="255" t="s">
        <v>242</v>
      </c>
      <c r="G40" s="256">
        <v>40</v>
      </c>
      <c r="J40" s="257" t="s">
        <v>36</v>
      </c>
      <c r="K40" s="258" t="s">
        <v>40</v>
      </c>
      <c r="N40" s="75" t="s">
        <v>1263</v>
      </c>
      <c r="R40" s="260"/>
    </row>
    <row r="41" spans="2:25" ht="15.6" x14ac:dyDescent="0.3">
      <c r="B41" s="98" t="s">
        <v>1517</v>
      </c>
      <c r="C41" s="273" t="b">
        <v>0</v>
      </c>
      <c r="D41" s="98">
        <f t="shared" si="0"/>
        <v>0</v>
      </c>
      <c r="F41" s="250" t="s">
        <v>246</v>
      </c>
      <c r="G41" s="251">
        <v>41</v>
      </c>
      <c r="J41" s="257" t="s">
        <v>36</v>
      </c>
      <c r="K41" s="258" t="s">
        <v>42</v>
      </c>
      <c r="R41" s="259"/>
    </row>
    <row r="42" spans="2:25" ht="15.6" x14ac:dyDescent="0.3">
      <c r="B42" s="98" t="s">
        <v>1518</v>
      </c>
      <c r="C42" s="273" t="b">
        <v>0</v>
      </c>
      <c r="D42" s="98">
        <f t="shared" si="0"/>
        <v>0</v>
      </c>
      <c r="F42" s="255" t="s">
        <v>248</v>
      </c>
      <c r="G42" s="256">
        <v>42</v>
      </c>
      <c r="J42" s="257" t="s">
        <v>36</v>
      </c>
      <c r="K42" s="258" t="s">
        <v>43</v>
      </c>
    </row>
    <row r="43" spans="2:25" ht="15.6" x14ac:dyDescent="0.3">
      <c r="B43" s="98" t="s">
        <v>1519</v>
      </c>
      <c r="C43" s="273" t="b">
        <v>0</v>
      </c>
      <c r="D43" s="98">
        <f t="shared" si="0"/>
        <v>0</v>
      </c>
      <c r="F43" s="250" t="s">
        <v>619</v>
      </c>
      <c r="G43" s="251">
        <v>43</v>
      </c>
      <c r="J43" s="275" t="s">
        <v>44</v>
      </c>
      <c r="K43" s="267" t="s">
        <v>45</v>
      </c>
      <c r="N43" s="75" t="s">
        <v>801</v>
      </c>
      <c r="R43" s="248"/>
    </row>
    <row r="44" spans="2:25" ht="15.6" x14ac:dyDescent="0.3">
      <c r="B44" s="274" t="s">
        <v>1532</v>
      </c>
      <c r="C44" s="211" t="b">
        <v>1</v>
      </c>
      <c r="D44" s="98">
        <f t="shared" si="0"/>
        <v>1</v>
      </c>
      <c r="F44" s="255" t="s">
        <v>254</v>
      </c>
      <c r="G44" s="256">
        <v>44</v>
      </c>
      <c r="J44" s="275" t="s">
        <v>44</v>
      </c>
      <c r="K44" s="258" t="s">
        <v>46</v>
      </c>
      <c r="N44" s="254" t="s">
        <v>1270</v>
      </c>
      <c r="R44" s="253"/>
    </row>
    <row r="45" spans="2:25" ht="15.6" x14ac:dyDescent="0.3">
      <c r="B45" s="274" t="s">
        <v>1533</v>
      </c>
      <c r="C45" s="211" t="b">
        <v>0</v>
      </c>
      <c r="D45" s="276">
        <f t="shared" si="0"/>
        <v>0</v>
      </c>
      <c r="F45" s="250" t="s">
        <v>265</v>
      </c>
      <c r="G45" s="251">
        <v>45</v>
      </c>
      <c r="J45" s="275" t="s">
        <v>47</v>
      </c>
      <c r="K45" s="258" t="s">
        <v>48</v>
      </c>
      <c r="N45" s="277" t="s">
        <v>1266</v>
      </c>
      <c r="R45" s="259"/>
    </row>
    <row r="46" spans="2:25" ht="15.6" x14ac:dyDescent="0.3">
      <c r="B46" s="95" t="s">
        <v>1540</v>
      </c>
      <c r="C46" s="239" t="b">
        <v>0</v>
      </c>
      <c r="D46" s="276">
        <f t="shared" si="0"/>
        <v>0</v>
      </c>
      <c r="F46" s="255" t="s">
        <v>267</v>
      </c>
      <c r="G46" s="256">
        <v>46</v>
      </c>
      <c r="J46" s="275" t="s">
        <v>50</v>
      </c>
      <c r="K46" s="258" t="s">
        <v>51</v>
      </c>
      <c r="N46" s="277" t="s">
        <v>1267</v>
      </c>
    </row>
    <row r="47" spans="2:25" ht="15.6" x14ac:dyDescent="0.3">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6" x14ac:dyDescent="0.3">
      <c r="B48" s="95" t="s">
        <v>1596</v>
      </c>
      <c r="C48" s="239" t="b">
        <v>0</v>
      </c>
      <c r="D48" s="276">
        <f t="shared" si="0"/>
        <v>0</v>
      </c>
      <c r="F48" s="255" t="s">
        <v>269</v>
      </c>
      <c r="G48" s="256">
        <v>48</v>
      </c>
      <c r="J48" s="275" t="s">
        <v>409</v>
      </c>
      <c r="K48" s="258" t="s">
        <v>410</v>
      </c>
      <c r="Y48" s="254" t="s">
        <v>461</v>
      </c>
    </row>
    <row r="49" spans="2:25" ht="15.6" x14ac:dyDescent="0.3">
      <c r="B49" s="95" t="s">
        <v>1535</v>
      </c>
      <c r="C49" s="161">
        <f>IF(OR('Ввод исходных данных'!E289&lt;&gt;"Ошибок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1905</v>
      </c>
    </row>
    <row r="50" spans="2:25" ht="15.6" x14ac:dyDescent="0.3">
      <c r="B50" s="95" t="s">
        <v>1536</v>
      </c>
      <c r="C50" s="161">
        <f>IF(OR(SUM('Список мероприятий'!Z6:Z77)&gt;0),1,0)</f>
        <v>0</v>
      </c>
      <c r="D50" s="95" t="s">
        <v>1912</v>
      </c>
      <c r="F50" s="255" t="s">
        <v>2</v>
      </c>
      <c r="G50" s="256">
        <v>50</v>
      </c>
      <c r="J50" s="275" t="s">
        <v>293</v>
      </c>
      <c r="K50" s="258" t="s">
        <v>413</v>
      </c>
      <c r="N50" s="254"/>
      <c r="Y50" s="75" t="s">
        <v>1906</v>
      </c>
    </row>
    <row r="51" spans="2:25" ht="15.6" x14ac:dyDescent="0.3">
      <c r="B51" s="95" t="s">
        <v>1537</v>
      </c>
      <c r="C51" s="161">
        <f>IF(OR(C49&gt;0,C50&gt;0,C52&gt;0),1,0)</f>
        <v>0</v>
      </c>
      <c r="D51" s="95"/>
      <c r="F51" s="250" t="s">
        <v>68</v>
      </c>
      <c r="G51" s="251">
        <v>51</v>
      </c>
      <c r="J51" s="275" t="s">
        <v>293</v>
      </c>
      <c r="K51" s="267" t="s">
        <v>414</v>
      </c>
      <c r="Y51" s="75" t="s">
        <v>1907</v>
      </c>
    </row>
    <row r="52" spans="2:25" ht="15.6" x14ac:dyDescent="0.3">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6" x14ac:dyDescent="0.3">
      <c r="B53" s="75" t="s">
        <v>1908</v>
      </c>
      <c r="C53" s="75">
        <f>IF(AND(C49=0,C52=0),1,0)</f>
        <v>1</v>
      </c>
      <c r="F53" s="250" t="s">
        <v>458</v>
      </c>
      <c r="G53" s="251">
        <v>53</v>
      </c>
      <c r="J53" s="275" t="s">
        <v>293</v>
      </c>
      <c r="K53" s="258" t="s">
        <v>416</v>
      </c>
    </row>
    <row r="54" spans="2:25" ht="16.2" x14ac:dyDescent="0.3">
      <c r="F54" s="255" t="s">
        <v>329</v>
      </c>
      <c r="G54" s="256">
        <v>54</v>
      </c>
      <c r="J54" s="275" t="s">
        <v>293</v>
      </c>
      <c r="K54" s="267" t="s">
        <v>412</v>
      </c>
      <c r="Y54" s="75" t="s">
        <v>1910</v>
      </c>
    </row>
    <row r="55" spans="2:25" ht="16.2" x14ac:dyDescent="0.3">
      <c r="F55" s="250" t="s">
        <v>145</v>
      </c>
      <c r="G55" s="251">
        <v>55</v>
      </c>
      <c r="J55" s="275" t="s">
        <v>419</v>
      </c>
      <c r="K55" s="258" t="s">
        <v>418</v>
      </c>
      <c r="Y55" s="75" t="s">
        <v>1911</v>
      </c>
    </row>
    <row r="56" spans="2:25" ht="15.6" x14ac:dyDescent="0.3">
      <c r="F56" s="255" t="s">
        <v>197</v>
      </c>
      <c r="G56" s="256">
        <v>56</v>
      </c>
      <c r="J56" s="275" t="s">
        <v>419</v>
      </c>
      <c r="K56" s="258" t="s">
        <v>421</v>
      </c>
    </row>
    <row r="57" spans="2:25" ht="15.6" x14ac:dyDescent="0.3">
      <c r="F57" s="250" t="s">
        <v>288</v>
      </c>
      <c r="G57" s="251">
        <v>57</v>
      </c>
      <c r="J57" s="275" t="s">
        <v>419</v>
      </c>
      <c r="K57" s="258" t="s">
        <v>635</v>
      </c>
    </row>
    <row r="58" spans="2:25" ht="15.6" x14ac:dyDescent="0.3">
      <c r="F58" s="255" t="s">
        <v>336</v>
      </c>
      <c r="G58" s="256">
        <v>58</v>
      </c>
      <c r="J58" s="275" t="s">
        <v>419</v>
      </c>
      <c r="K58" s="258" t="s">
        <v>636</v>
      </c>
    </row>
    <row r="59" spans="2:25" ht="15.6" x14ac:dyDescent="0.3">
      <c r="F59" s="250" t="s">
        <v>621</v>
      </c>
      <c r="G59" s="251">
        <v>59</v>
      </c>
      <c r="J59" s="275" t="s">
        <v>419</v>
      </c>
      <c r="K59" s="258" t="s">
        <v>420</v>
      </c>
    </row>
    <row r="60" spans="2:25" ht="15.6" x14ac:dyDescent="0.3">
      <c r="F60" s="255" t="s">
        <v>381</v>
      </c>
      <c r="G60" s="256">
        <v>60</v>
      </c>
      <c r="J60" s="275" t="s">
        <v>422</v>
      </c>
      <c r="K60" s="267" t="s">
        <v>423</v>
      </c>
    </row>
    <row r="61" spans="2:25" ht="15.6" x14ac:dyDescent="0.3">
      <c r="F61" s="250" t="s">
        <v>622</v>
      </c>
      <c r="G61" s="251">
        <v>61</v>
      </c>
      <c r="J61" s="275" t="s">
        <v>95</v>
      </c>
      <c r="K61" s="258" t="s">
        <v>96</v>
      </c>
    </row>
    <row r="62" spans="2:25" ht="15.6" x14ac:dyDescent="0.3">
      <c r="F62" s="255" t="s">
        <v>623</v>
      </c>
      <c r="G62" s="256">
        <v>62</v>
      </c>
      <c r="J62" s="275" t="s">
        <v>95</v>
      </c>
      <c r="K62" s="267" t="s">
        <v>97</v>
      </c>
    </row>
    <row r="63" spans="2:25" ht="15.6" x14ac:dyDescent="0.3">
      <c r="F63" s="250" t="s">
        <v>291</v>
      </c>
      <c r="G63" s="251">
        <v>63</v>
      </c>
      <c r="J63" s="275" t="s">
        <v>255</v>
      </c>
      <c r="K63" s="258" t="s">
        <v>429</v>
      </c>
    </row>
    <row r="64" spans="2:25" ht="15.6" x14ac:dyDescent="0.3">
      <c r="F64" s="255" t="s">
        <v>294</v>
      </c>
      <c r="G64" s="256">
        <v>64</v>
      </c>
      <c r="J64" s="275" t="s">
        <v>255</v>
      </c>
      <c r="K64" s="267" t="s">
        <v>430</v>
      </c>
    </row>
    <row r="65" spans="6:11" ht="15.6" x14ac:dyDescent="0.3">
      <c r="F65" s="250" t="s">
        <v>307</v>
      </c>
      <c r="G65" s="251">
        <v>65</v>
      </c>
      <c r="J65" s="275" t="s">
        <v>255</v>
      </c>
      <c r="K65" s="258" t="s">
        <v>637</v>
      </c>
    </row>
    <row r="66" spans="6:11" ht="15.6" x14ac:dyDescent="0.3">
      <c r="F66" s="255" t="s">
        <v>624</v>
      </c>
      <c r="G66" s="256">
        <v>66</v>
      </c>
      <c r="J66" s="275" t="s">
        <v>255</v>
      </c>
      <c r="K66" s="258" t="s">
        <v>431</v>
      </c>
    </row>
    <row r="67" spans="6:11" ht="15.6" x14ac:dyDescent="0.3">
      <c r="F67" s="250" t="s">
        <v>249</v>
      </c>
      <c r="G67" s="251">
        <v>67</v>
      </c>
      <c r="J67" s="275" t="s">
        <v>255</v>
      </c>
      <c r="K67" s="258" t="s">
        <v>434</v>
      </c>
    </row>
    <row r="68" spans="6:11" ht="15.6" x14ac:dyDescent="0.3">
      <c r="F68" s="255" t="s">
        <v>296</v>
      </c>
      <c r="G68" s="256">
        <v>68</v>
      </c>
      <c r="J68" s="275" t="s">
        <v>255</v>
      </c>
      <c r="K68" s="258" t="s">
        <v>435</v>
      </c>
    </row>
    <row r="69" spans="6:11" ht="15.6" x14ac:dyDescent="0.3">
      <c r="F69" s="250" t="s">
        <v>320</v>
      </c>
      <c r="G69" s="251">
        <v>69</v>
      </c>
      <c r="J69" s="275" t="s">
        <v>255</v>
      </c>
      <c r="K69" s="258" t="s">
        <v>436</v>
      </c>
    </row>
    <row r="70" spans="6:11" ht="15.6" x14ac:dyDescent="0.3">
      <c r="F70" s="255" t="s">
        <v>312</v>
      </c>
      <c r="G70" s="256">
        <v>70</v>
      </c>
      <c r="J70" s="275" t="s">
        <v>255</v>
      </c>
      <c r="K70" s="258" t="s">
        <v>437</v>
      </c>
    </row>
    <row r="71" spans="6:11" ht="15.6" x14ac:dyDescent="0.3">
      <c r="F71" s="250" t="s">
        <v>314</v>
      </c>
      <c r="G71" s="251">
        <v>71</v>
      </c>
      <c r="J71" s="275" t="s">
        <v>255</v>
      </c>
      <c r="K71" s="258" t="s">
        <v>438</v>
      </c>
    </row>
    <row r="72" spans="6:11" ht="15.6" x14ac:dyDescent="0.3">
      <c r="F72" s="255" t="s">
        <v>326</v>
      </c>
      <c r="G72" s="256">
        <v>72</v>
      </c>
      <c r="J72" s="275" t="s">
        <v>255</v>
      </c>
      <c r="K72" s="258" t="s">
        <v>638</v>
      </c>
    </row>
    <row r="73" spans="6:11" ht="15.6" x14ac:dyDescent="0.3">
      <c r="F73" s="250" t="s">
        <v>392</v>
      </c>
      <c r="G73" s="251">
        <v>73</v>
      </c>
      <c r="J73" s="275" t="s">
        <v>255</v>
      </c>
      <c r="K73" s="258" t="s">
        <v>439</v>
      </c>
    </row>
    <row r="74" spans="6:11" ht="15.6" x14ac:dyDescent="0.3">
      <c r="F74" s="255" t="s">
        <v>55</v>
      </c>
      <c r="G74" s="256">
        <v>74</v>
      </c>
      <c r="J74" s="275" t="s">
        <v>255</v>
      </c>
      <c r="K74" s="258" t="s">
        <v>440</v>
      </c>
    </row>
    <row r="75" spans="6:11" ht="15.6" x14ac:dyDescent="0.3">
      <c r="F75" s="250" t="s">
        <v>389</v>
      </c>
      <c r="G75" s="251">
        <v>75</v>
      </c>
      <c r="J75" s="275" t="s">
        <v>255</v>
      </c>
      <c r="K75" s="267" t="s">
        <v>441</v>
      </c>
    </row>
    <row r="76" spans="6:11" ht="15.6" x14ac:dyDescent="0.3">
      <c r="F76" s="255" t="s">
        <v>396</v>
      </c>
      <c r="G76" s="256">
        <v>76</v>
      </c>
      <c r="J76" s="275" t="s">
        <v>255</v>
      </c>
      <c r="K76" s="258" t="s">
        <v>432</v>
      </c>
    </row>
    <row r="77" spans="6:11" ht="15.6" x14ac:dyDescent="0.3">
      <c r="F77" s="279" t="s">
        <v>625</v>
      </c>
      <c r="G77" s="251">
        <v>77</v>
      </c>
      <c r="J77" s="275" t="s">
        <v>255</v>
      </c>
      <c r="K77" s="258" t="s">
        <v>433</v>
      </c>
    </row>
    <row r="78" spans="6:11" ht="15.6" x14ac:dyDescent="0.3">
      <c r="F78" s="255" t="s">
        <v>406</v>
      </c>
      <c r="G78" s="256">
        <v>78</v>
      </c>
      <c r="J78" s="275" t="s">
        <v>91</v>
      </c>
      <c r="K78" s="267" t="s">
        <v>92</v>
      </c>
    </row>
    <row r="79" spans="6:11" ht="15.6" x14ac:dyDescent="0.3">
      <c r="F79" s="250" t="s">
        <v>121</v>
      </c>
      <c r="G79" s="251">
        <v>79</v>
      </c>
      <c r="J79" s="275" t="s">
        <v>91</v>
      </c>
      <c r="K79" s="258" t="s">
        <v>93</v>
      </c>
    </row>
    <row r="80" spans="6:11" ht="15.6" x14ac:dyDescent="0.3">
      <c r="F80" s="255" t="s">
        <v>626</v>
      </c>
      <c r="G80" s="256">
        <v>80</v>
      </c>
      <c r="J80" s="275" t="s">
        <v>71</v>
      </c>
      <c r="K80" s="258" t="s">
        <v>72</v>
      </c>
    </row>
    <row r="81" spans="6:11" ht="15.6" x14ac:dyDescent="0.3">
      <c r="F81" s="250" t="s">
        <v>53</v>
      </c>
      <c r="G81" s="251">
        <v>81</v>
      </c>
      <c r="J81" s="275" t="s">
        <v>71</v>
      </c>
      <c r="K81" s="258" t="s">
        <v>73</v>
      </c>
    </row>
    <row r="82" spans="6:11" ht="15.6" x14ac:dyDescent="0.3">
      <c r="F82" s="255" t="s">
        <v>627</v>
      </c>
      <c r="G82" s="256">
        <v>82</v>
      </c>
      <c r="J82" s="275" t="s">
        <v>71</v>
      </c>
      <c r="K82" s="258" t="s">
        <v>74</v>
      </c>
    </row>
    <row r="83" spans="6:11" ht="15.6" x14ac:dyDescent="0.3">
      <c r="F83" s="250" t="s">
        <v>628</v>
      </c>
      <c r="G83" s="251">
        <v>83</v>
      </c>
      <c r="J83" s="275" t="s">
        <v>71</v>
      </c>
      <c r="K83" s="258" t="s">
        <v>88</v>
      </c>
    </row>
    <row r="84" spans="6:11" ht="15.6" x14ac:dyDescent="0.3">
      <c r="F84" s="255" t="s">
        <v>58</v>
      </c>
      <c r="G84" s="256">
        <v>84</v>
      </c>
      <c r="J84" s="275" t="s">
        <v>71</v>
      </c>
      <c r="K84" s="258" t="s">
        <v>639</v>
      </c>
    </row>
    <row r="85" spans="6:11" ht="15.6" x14ac:dyDescent="0.3">
      <c r="F85" s="250" t="s">
        <v>629</v>
      </c>
      <c r="G85" s="251">
        <v>85</v>
      </c>
      <c r="J85" s="275" t="s">
        <v>71</v>
      </c>
      <c r="K85" s="267" t="s">
        <v>89</v>
      </c>
    </row>
    <row r="86" spans="6:11" ht="15.6" x14ac:dyDescent="0.3">
      <c r="F86" s="75" t="s">
        <v>427</v>
      </c>
      <c r="G86" s="256">
        <v>86</v>
      </c>
      <c r="J86" s="275" t="s">
        <v>71</v>
      </c>
      <c r="K86" s="258" t="s">
        <v>90</v>
      </c>
    </row>
    <row r="87" spans="6:11" ht="15.6" x14ac:dyDescent="0.3">
      <c r="F87" s="75" t="s">
        <v>630</v>
      </c>
      <c r="G87" s="251">
        <v>87</v>
      </c>
      <c r="J87" s="275" t="s">
        <v>71</v>
      </c>
      <c r="K87" s="258" t="s">
        <v>640</v>
      </c>
    </row>
    <row r="88" spans="6:11" ht="15.6" x14ac:dyDescent="0.3">
      <c r="F88" s="75" t="s">
        <v>631</v>
      </c>
      <c r="G88" s="256">
        <v>88</v>
      </c>
      <c r="J88" s="275" t="s">
        <v>71</v>
      </c>
      <c r="K88" s="258" t="s">
        <v>76</v>
      </c>
    </row>
    <row r="89" spans="6:11" ht="15.6" x14ac:dyDescent="0.3">
      <c r="J89" s="275" t="s">
        <v>71</v>
      </c>
      <c r="K89" s="258" t="s">
        <v>641</v>
      </c>
    </row>
    <row r="90" spans="6:11" ht="15.6" x14ac:dyDescent="0.3">
      <c r="J90" s="275" t="s">
        <v>71</v>
      </c>
      <c r="K90" s="258" t="s">
        <v>77</v>
      </c>
    </row>
    <row r="91" spans="6:11" ht="15.6" x14ac:dyDescent="0.3">
      <c r="J91" s="275" t="s">
        <v>71</v>
      </c>
      <c r="K91" s="267" t="s">
        <v>75</v>
      </c>
    </row>
    <row r="92" spans="6:11" ht="15.6" x14ac:dyDescent="0.3">
      <c r="J92" s="275" t="s">
        <v>71</v>
      </c>
      <c r="K92" s="258" t="s">
        <v>78</v>
      </c>
    </row>
    <row r="93" spans="6:11" ht="15.6" x14ac:dyDescent="0.3">
      <c r="J93" s="275" t="s">
        <v>71</v>
      </c>
      <c r="K93" s="267" t="s">
        <v>79</v>
      </c>
    </row>
    <row r="94" spans="6:11" ht="15.6" x14ac:dyDescent="0.3">
      <c r="J94" s="275" t="s">
        <v>71</v>
      </c>
      <c r="K94" s="258" t="s">
        <v>62</v>
      </c>
    </row>
    <row r="95" spans="6:11" ht="15.6" x14ac:dyDescent="0.3">
      <c r="J95" s="275" t="s">
        <v>71</v>
      </c>
      <c r="K95" s="258" t="s">
        <v>642</v>
      </c>
    </row>
    <row r="96" spans="6:11" ht="15.6" x14ac:dyDescent="0.3">
      <c r="J96" s="275" t="s">
        <v>71</v>
      </c>
      <c r="K96" s="267" t="s">
        <v>81</v>
      </c>
    </row>
    <row r="97" spans="10:11" ht="15.6" x14ac:dyDescent="0.3">
      <c r="J97" s="275" t="s">
        <v>71</v>
      </c>
      <c r="K97" s="258" t="s">
        <v>80</v>
      </c>
    </row>
    <row r="98" spans="10:11" ht="15.6" x14ac:dyDescent="0.3">
      <c r="J98" s="275" t="s">
        <v>71</v>
      </c>
      <c r="K98" s="258" t="s">
        <v>82</v>
      </c>
    </row>
    <row r="99" spans="10:11" ht="15.6" x14ac:dyDescent="0.3">
      <c r="J99" s="275" t="s">
        <v>71</v>
      </c>
      <c r="K99" s="258" t="s">
        <v>83</v>
      </c>
    </row>
    <row r="100" spans="10:11" ht="15.6" x14ac:dyDescent="0.3">
      <c r="J100" s="275" t="s">
        <v>71</v>
      </c>
      <c r="K100" s="267" t="s">
        <v>84</v>
      </c>
    </row>
    <row r="101" spans="10:11" ht="15.6" x14ac:dyDescent="0.3">
      <c r="J101" s="275" t="s">
        <v>71</v>
      </c>
      <c r="K101" s="258" t="s">
        <v>643</v>
      </c>
    </row>
    <row r="102" spans="10:11" ht="15.6" x14ac:dyDescent="0.3">
      <c r="J102" s="275" t="s">
        <v>71</v>
      </c>
      <c r="K102" s="258" t="s">
        <v>85</v>
      </c>
    </row>
    <row r="103" spans="10:11" ht="15.6" x14ac:dyDescent="0.3">
      <c r="J103" s="275" t="s">
        <v>71</v>
      </c>
      <c r="K103" s="258" t="s">
        <v>86</v>
      </c>
    </row>
    <row r="104" spans="10:11" ht="15.6" x14ac:dyDescent="0.3">
      <c r="J104" s="275" t="s">
        <v>71</v>
      </c>
      <c r="K104" s="258" t="s">
        <v>87</v>
      </c>
    </row>
    <row r="105" spans="10:11" ht="15.6" x14ac:dyDescent="0.3">
      <c r="J105" s="275" t="s">
        <v>71</v>
      </c>
      <c r="K105" s="267" t="s">
        <v>644</v>
      </c>
    </row>
    <row r="106" spans="10:11" ht="15.6" x14ac:dyDescent="0.3">
      <c r="J106" s="275" t="s">
        <v>614</v>
      </c>
      <c r="K106" s="258" t="s">
        <v>99</v>
      </c>
    </row>
    <row r="107" spans="10:11" ht="15.6" x14ac:dyDescent="0.3">
      <c r="J107" s="275" t="s">
        <v>100</v>
      </c>
      <c r="K107" s="258" t="s">
        <v>101</v>
      </c>
    </row>
    <row r="108" spans="10:11" ht="15.6" x14ac:dyDescent="0.3">
      <c r="J108" s="275" t="s">
        <v>102</v>
      </c>
      <c r="K108" s="258" t="s">
        <v>103</v>
      </c>
    </row>
    <row r="109" spans="10:11" ht="15.6" x14ac:dyDescent="0.3">
      <c r="J109" s="275" t="s">
        <v>615</v>
      </c>
      <c r="K109" s="258" t="s">
        <v>645</v>
      </c>
    </row>
    <row r="110" spans="10:11" ht="15.6" x14ac:dyDescent="0.3">
      <c r="J110" s="275" t="s">
        <v>615</v>
      </c>
      <c r="K110" s="258" t="s">
        <v>646</v>
      </c>
    </row>
    <row r="111" spans="10:11" ht="15.6" x14ac:dyDescent="0.3">
      <c r="J111" s="275" t="s">
        <v>615</v>
      </c>
      <c r="K111" s="258" t="s">
        <v>104</v>
      </c>
    </row>
    <row r="112" spans="10:11" ht="15.6" x14ac:dyDescent="0.3">
      <c r="J112" s="275" t="s">
        <v>615</v>
      </c>
      <c r="K112" s="258" t="s">
        <v>105</v>
      </c>
    </row>
    <row r="113" spans="10:11" ht="15.6" x14ac:dyDescent="0.3">
      <c r="J113" s="275" t="s">
        <v>615</v>
      </c>
      <c r="K113" s="258" t="s">
        <v>647</v>
      </c>
    </row>
    <row r="114" spans="10:11" ht="15.6" x14ac:dyDescent="0.3">
      <c r="J114" s="275" t="s">
        <v>615</v>
      </c>
      <c r="K114" s="258" t="s">
        <v>106</v>
      </c>
    </row>
    <row r="115" spans="10:11" ht="15.6" x14ac:dyDescent="0.3">
      <c r="J115" s="275" t="s">
        <v>615</v>
      </c>
      <c r="K115" s="258" t="s">
        <v>648</v>
      </c>
    </row>
    <row r="116" spans="10:11" ht="15.6" x14ac:dyDescent="0.3">
      <c r="J116" s="275" t="s">
        <v>615</v>
      </c>
      <c r="K116" s="258" t="s">
        <v>649</v>
      </c>
    </row>
    <row r="117" spans="10:11" ht="15.6" x14ac:dyDescent="0.3">
      <c r="J117" s="275" t="s">
        <v>615</v>
      </c>
      <c r="K117" s="258" t="s">
        <v>107</v>
      </c>
    </row>
    <row r="118" spans="10:11" ht="15.6" x14ac:dyDescent="0.3">
      <c r="J118" s="275" t="s">
        <v>615</v>
      </c>
      <c r="K118" s="258" t="s">
        <v>650</v>
      </c>
    </row>
    <row r="119" spans="10:11" ht="15.6" x14ac:dyDescent="0.3">
      <c r="J119" s="275" t="s">
        <v>615</v>
      </c>
      <c r="K119" s="258" t="s">
        <v>108</v>
      </c>
    </row>
    <row r="120" spans="10:11" ht="15.6" x14ac:dyDescent="0.3">
      <c r="J120" s="275" t="s">
        <v>615</v>
      </c>
      <c r="K120" s="258" t="s">
        <v>651</v>
      </c>
    </row>
    <row r="121" spans="10:11" ht="15.6" x14ac:dyDescent="0.3">
      <c r="J121" s="275" t="s">
        <v>615</v>
      </c>
      <c r="K121" s="258" t="s">
        <v>652</v>
      </c>
    </row>
    <row r="122" spans="10:11" ht="15.6" x14ac:dyDescent="0.3">
      <c r="J122" s="275" t="s">
        <v>615</v>
      </c>
      <c r="K122" s="258" t="s">
        <v>109</v>
      </c>
    </row>
    <row r="123" spans="10:11" ht="15.6" x14ac:dyDescent="0.3">
      <c r="J123" s="275" t="s">
        <v>615</v>
      </c>
      <c r="K123" s="258" t="s">
        <v>110</v>
      </c>
    </row>
    <row r="124" spans="10:11" ht="15.6" x14ac:dyDescent="0.3">
      <c r="J124" s="275" t="s">
        <v>615</v>
      </c>
      <c r="K124" s="258" t="s">
        <v>111</v>
      </c>
    </row>
    <row r="125" spans="10:11" ht="15.6" x14ac:dyDescent="0.3">
      <c r="J125" s="275" t="s">
        <v>615</v>
      </c>
      <c r="K125" s="267" t="s">
        <v>653</v>
      </c>
    </row>
    <row r="126" spans="10:11" ht="15.6" x14ac:dyDescent="0.3">
      <c r="J126" s="275" t="s">
        <v>615</v>
      </c>
      <c r="K126" s="258" t="s">
        <v>654</v>
      </c>
    </row>
    <row r="127" spans="10:11" ht="15.6" x14ac:dyDescent="0.3">
      <c r="J127" s="275" t="s">
        <v>615</v>
      </c>
      <c r="K127" s="280" t="s">
        <v>655</v>
      </c>
    </row>
    <row r="128" spans="10:11" ht="15.6" x14ac:dyDescent="0.3">
      <c r="J128" s="275" t="s">
        <v>616</v>
      </c>
      <c r="K128" s="267" t="s">
        <v>112</v>
      </c>
    </row>
    <row r="129" spans="10:11" ht="15.6" x14ac:dyDescent="0.3">
      <c r="J129" s="275" t="s">
        <v>113</v>
      </c>
      <c r="K129" s="258" t="s">
        <v>114</v>
      </c>
    </row>
    <row r="130" spans="10:11" ht="15.6" x14ac:dyDescent="0.3">
      <c r="J130" s="275" t="s">
        <v>113</v>
      </c>
      <c r="K130" s="267" t="s">
        <v>115</v>
      </c>
    </row>
    <row r="131" spans="10:11" ht="15.6" x14ac:dyDescent="0.3">
      <c r="J131" s="275" t="s">
        <v>113</v>
      </c>
      <c r="K131" s="258" t="s">
        <v>116</v>
      </c>
    </row>
    <row r="132" spans="10:11" ht="15.6" x14ac:dyDescent="0.3">
      <c r="J132" s="275" t="s">
        <v>113</v>
      </c>
      <c r="K132" s="267" t="s">
        <v>117</v>
      </c>
    </row>
    <row r="133" spans="10:11" ht="15.6" x14ac:dyDescent="0.3">
      <c r="J133" s="275" t="s">
        <v>113</v>
      </c>
      <c r="K133" s="258" t="s">
        <v>118</v>
      </c>
    </row>
    <row r="134" spans="10:11" ht="15.6" x14ac:dyDescent="0.3">
      <c r="J134" s="275" t="s">
        <v>113</v>
      </c>
      <c r="K134" s="267" t="s">
        <v>656</v>
      </c>
    </row>
    <row r="135" spans="10:11" ht="15.6" x14ac:dyDescent="0.3">
      <c r="J135" s="275" t="s">
        <v>113</v>
      </c>
      <c r="K135" s="281" t="s">
        <v>119</v>
      </c>
    </row>
    <row r="136" spans="10:11" ht="15.6" x14ac:dyDescent="0.3">
      <c r="J136" s="275" t="s">
        <v>113</v>
      </c>
      <c r="K136" s="281" t="s">
        <v>120</v>
      </c>
    </row>
    <row r="137" spans="10:11" ht="15.6" x14ac:dyDescent="0.3">
      <c r="J137" s="275" t="s">
        <v>142</v>
      </c>
      <c r="K137" s="280" t="s">
        <v>144</v>
      </c>
    </row>
    <row r="138" spans="10:11" ht="15.6" x14ac:dyDescent="0.3">
      <c r="J138" s="275" t="s">
        <v>142</v>
      </c>
      <c r="K138" s="280" t="s">
        <v>657</v>
      </c>
    </row>
    <row r="139" spans="10:11" ht="15.6" x14ac:dyDescent="0.3">
      <c r="J139" s="275" t="s">
        <v>142</v>
      </c>
      <c r="K139" s="280" t="s">
        <v>143</v>
      </c>
    </row>
    <row r="140" spans="10:11" ht="15.6" x14ac:dyDescent="0.3">
      <c r="J140" s="275" t="s">
        <v>155</v>
      </c>
      <c r="K140" s="280" t="s">
        <v>157</v>
      </c>
    </row>
    <row r="141" spans="10:11" ht="15.6" x14ac:dyDescent="0.3">
      <c r="J141" s="275" t="s">
        <v>155</v>
      </c>
      <c r="K141" s="280" t="s">
        <v>156</v>
      </c>
    </row>
    <row r="142" spans="10:11" ht="15.6" x14ac:dyDescent="0.3">
      <c r="J142" s="275" t="s">
        <v>155</v>
      </c>
      <c r="K142" s="280" t="s">
        <v>158</v>
      </c>
    </row>
    <row r="143" spans="10:11" ht="15.6" x14ac:dyDescent="0.3">
      <c r="J143" s="275" t="s">
        <v>159</v>
      </c>
      <c r="K143" s="280" t="s">
        <v>160</v>
      </c>
    </row>
    <row r="144" spans="10:11" ht="15.6" x14ac:dyDescent="0.3">
      <c r="J144" s="275" t="s">
        <v>159</v>
      </c>
      <c r="K144" s="280" t="s">
        <v>161</v>
      </c>
    </row>
    <row r="145" spans="10:11" ht="15.6" x14ac:dyDescent="0.3">
      <c r="J145" s="275" t="s">
        <v>159</v>
      </c>
      <c r="K145" s="280" t="s">
        <v>162</v>
      </c>
    </row>
    <row r="146" spans="10:11" ht="15.6" x14ac:dyDescent="0.3">
      <c r="J146" s="275" t="s">
        <v>159</v>
      </c>
      <c r="K146" s="280" t="s">
        <v>163</v>
      </c>
    </row>
    <row r="147" spans="10:11" ht="15.6" x14ac:dyDescent="0.3">
      <c r="J147" s="275" t="s">
        <v>159</v>
      </c>
      <c r="K147" s="280" t="s">
        <v>164</v>
      </c>
    </row>
    <row r="148" spans="10:11" ht="15.6" x14ac:dyDescent="0.3">
      <c r="J148" s="275" t="s">
        <v>165</v>
      </c>
      <c r="K148" s="280" t="s">
        <v>167</v>
      </c>
    </row>
    <row r="149" spans="10:11" ht="15.6" x14ac:dyDescent="0.3">
      <c r="J149" s="275" t="s">
        <v>165</v>
      </c>
      <c r="K149" s="280" t="s">
        <v>166</v>
      </c>
    </row>
    <row r="150" spans="10:11" ht="15.6" x14ac:dyDescent="0.3">
      <c r="J150" s="275" t="s">
        <v>165</v>
      </c>
      <c r="K150" s="280" t="s">
        <v>658</v>
      </c>
    </row>
    <row r="151" spans="10:11" ht="15.6" x14ac:dyDescent="0.3">
      <c r="J151" s="275" t="s">
        <v>165</v>
      </c>
      <c r="K151" s="280" t="s">
        <v>168</v>
      </c>
    </row>
    <row r="152" spans="10:11" ht="15.6" x14ac:dyDescent="0.3">
      <c r="J152" s="275" t="s">
        <v>165</v>
      </c>
      <c r="K152" s="280" t="s">
        <v>169</v>
      </c>
    </row>
    <row r="153" spans="10:11" ht="15.6" x14ac:dyDescent="0.3">
      <c r="J153" s="275" t="s">
        <v>165</v>
      </c>
      <c r="K153" s="280" t="s">
        <v>659</v>
      </c>
    </row>
    <row r="154" spans="10:11" ht="15.6" x14ac:dyDescent="0.3">
      <c r="J154" s="275" t="s">
        <v>165</v>
      </c>
      <c r="K154" s="267" t="s">
        <v>178</v>
      </c>
    </row>
    <row r="155" spans="10:11" ht="15.6" x14ac:dyDescent="0.3">
      <c r="J155" s="275" t="s">
        <v>165</v>
      </c>
      <c r="K155" s="280" t="s">
        <v>179</v>
      </c>
    </row>
    <row r="156" spans="10:11" ht="15.6" x14ac:dyDescent="0.3">
      <c r="J156" s="275" t="s">
        <v>165</v>
      </c>
      <c r="K156" s="267" t="s">
        <v>180</v>
      </c>
    </row>
    <row r="157" spans="10:11" ht="15.6" x14ac:dyDescent="0.3">
      <c r="J157" s="275" t="s">
        <v>165</v>
      </c>
      <c r="K157" s="258" t="s">
        <v>660</v>
      </c>
    </row>
    <row r="158" spans="10:11" ht="15.6" x14ac:dyDescent="0.3">
      <c r="J158" s="275" t="s">
        <v>165</v>
      </c>
      <c r="K158" s="258" t="s">
        <v>661</v>
      </c>
    </row>
    <row r="159" spans="10:11" ht="15.6" x14ac:dyDescent="0.3">
      <c r="J159" s="275" t="s">
        <v>165</v>
      </c>
      <c r="K159" s="258" t="s">
        <v>170</v>
      </c>
    </row>
    <row r="160" spans="10:11" ht="15.6" x14ac:dyDescent="0.3">
      <c r="J160" s="275" t="s">
        <v>165</v>
      </c>
      <c r="K160" s="258" t="s">
        <v>662</v>
      </c>
    </row>
    <row r="161" spans="10:11" ht="15.6" x14ac:dyDescent="0.3">
      <c r="J161" s="275" t="s">
        <v>165</v>
      </c>
      <c r="K161" s="258" t="s">
        <v>171</v>
      </c>
    </row>
    <row r="162" spans="10:11" ht="15.6" x14ac:dyDescent="0.3">
      <c r="J162" s="275" t="s">
        <v>165</v>
      </c>
      <c r="K162" s="258" t="s">
        <v>172</v>
      </c>
    </row>
    <row r="163" spans="10:11" ht="15.6" x14ac:dyDescent="0.3">
      <c r="J163" s="275" t="s">
        <v>165</v>
      </c>
      <c r="K163" s="258" t="s">
        <v>173</v>
      </c>
    </row>
    <row r="164" spans="10:11" ht="15.6" x14ac:dyDescent="0.3">
      <c r="J164" s="275" t="s">
        <v>165</v>
      </c>
      <c r="K164" s="267" t="s">
        <v>104</v>
      </c>
    </row>
    <row r="165" spans="10:11" ht="15.6" x14ac:dyDescent="0.3">
      <c r="J165" s="275" t="s">
        <v>165</v>
      </c>
      <c r="K165" s="258" t="s">
        <v>174</v>
      </c>
    </row>
    <row r="166" spans="10:11" ht="15.6" x14ac:dyDescent="0.3">
      <c r="J166" s="275" t="s">
        <v>165</v>
      </c>
      <c r="K166" s="258" t="s">
        <v>175</v>
      </c>
    </row>
    <row r="167" spans="10:11" ht="15.6" x14ac:dyDescent="0.3">
      <c r="J167" s="275" t="s">
        <v>165</v>
      </c>
      <c r="K167" s="258" t="s">
        <v>176</v>
      </c>
    </row>
    <row r="168" spans="10:11" ht="15.6" x14ac:dyDescent="0.3">
      <c r="J168" s="275" t="s">
        <v>165</v>
      </c>
      <c r="K168" s="258" t="s">
        <v>140</v>
      </c>
    </row>
    <row r="169" spans="10:11" ht="15.6" x14ac:dyDescent="0.3">
      <c r="J169" s="275" t="s">
        <v>165</v>
      </c>
      <c r="K169" s="258" t="s">
        <v>663</v>
      </c>
    </row>
    <row r="170" spans="10:11" ht="15.6" x14ac:dyDescent="0.3">
      <c r="J170" s="275" t="s">
        <v>165</v>
      </c>
      <c r="K170" s="258" t="s">
        <v>177</v>
      </c>
    </row>
    <row r="171" spans="10:11" ht="15.6" x14ac:dyDescent="0.3">
      <c r="J171" s="275" t="s">
        <v>165</v>
      </c>
      <c r="K171" s="258" t="s">
        <v>664</v>
      </c>
    </row>
    <row r="172" spans="10:11" ht="15.6" x14ac:dyDescent="0.3">
      <c r="J172" s="275" t="s">
        <v>165</v>
      </c>
      <c r="K172" s="258" t="s">
        <v>665</v>
      </c>
    </row>
    <row r="173" spans="10:11" ht="15.6" x14ac:dyDescent="0.3">
      <c r="J173" s="275" t="s">
        <v>165</v>
      </c>
      <c r="K173" s="267" t="s">
        <v>181</v>
      </c>
    </row>
    <row r="174" spans="10:11" ht="15.6" x14ac:dyDescent="0.3">
      <c r="J174" s="275" t="s">
        <v>182</v>
      </c>
      <c r="K174" s="258" t="s">
        <v>183</v>
      </c>
    </row>
    <row r="175" spans="10:11" ht="15.6" x14ac:dyDescent="0.3">
      <c r="J175" s="275" t="s">
        <v>49</v>
      </c>
      <c r="K175" s="258" t="s">
        <v>184</v>
      </c>
    </row>
    <row r="176" spans="10:11" ht="15.6" x14ac:dyDescent="0.3">
      <c r="J176" s="275" t="s">
        <v>185</v>
      </c>
      <c r="K176" s="258" t="s">
        <v>186</v>
      </c>
    </row>
    <row r="177" spans="10:11" ht="15.6" x14ac:dyDescent="0.3">
      <c r="J177" s="275" t="s">
        <v>185</v>
      </c>
      <c r="K177" s="267" t="s">
        <v>187</v>
      </c>
    </row>
    <row r="178" spans="10:11" ht="15.6" x14ac:dyDescent="0.3">
      <c r="J178" s="275" t="s">
        <v>188</v>
      </c>
      <c r="K178" s="258" t="s">
        <v>189</v>
      </c>
    </row>
    <row r="179" spans="10:11" ht="15.6" x14ac:dyDescent="0.3">
      <c r="J179" s="275" t="s">
        <v>190</v>
      </c>
      <c r="K179" s="258" t="s">
        <v>191</v>
      </c>
    </row>
    <row r="180" spans="10:11" ht="15.6" x14ac:dyDescent="0.3">
      <c r="J180" s="275" t="s">
        <v>190</v>
      </c>
      <c r="K180" s="258" t="s">
        <v>192</v>
      </c>
    </row>
    <row r="181" spans="10:11" ht="15.6" x14ac:dyDescent="0.3">
      <c r="J181" s="275" t="s">
        <v>190</v>
      </c>
      <c r="K181" s="258" t="s">
        <v>666</v>
      </c>
    </row>
    <row r="182" spans="10:11" ht="15.6" x14ac:dyDescent="0.3">
      <c r="J182" s="275" t="s">
        <v>190</v>
      </c>
      <c r="K182" s="258" t="s">
        <v>193</v>
      </c>
    </row>
    <row r="183" spans="10:11" ht="15.6" x14ac:dyDescent="0.3">
      <c r="J183" s="275" t="s">
        <v>190</v>
      </c>
      <c r="K183" s="258" t="s">
        <v>194</v>
      </c>
    </row>
    <row r="184" spans="10:11" ht="15.6" x14ac:dyDescent="0.3">
      <c r="J184" s="275" t="s">
        <v>190</v>
      </c>
      <c r="K184" s="258" t="s">
        <v>195</v>
      </c>
    </row>
    <row r="185" spans="10:11" ht="15.6" x14ac:dyDescent="0.3">
      <c r="J185" s="275" t="s">
        <v>190</v>
      </c>
      <c r="K185" s="258" t="s">
        <v>196</v>
      </c>
    </row>
    <row r="186" spans="10:11" ht="15.6" x14ac:dyDescent="0.3">
      <c r="J186" s="275" t="s">
        <v>617</v>
      </c>
      <c r="K186" s="258" t="s">
        <v>199</v>
      </c>
    </row>
    <row r="187" spans="10:11" ht="15.6" x14ac:dyDescent="0.3">
      <c r="J187" s="275" t="s">
        <v>52</v>
      </c>
      <c r="K187" s="258" t="s">
        <v>200</v>
      </c>
    </row>
    <row r="188" spans="10:11" ht="15.6" x14ac:dyDescent="0.3">
      <c r="J188" s="275" t="s">
        <v>52</v>
      </c>
      <c r="K188" s="258" t="s">
        <v>201</v>
      </c>
    </row>
    <row r="189" spans="10:11" ht="15.6" x14ac:dyDescent="0.3">
      <c r="J189" s="275" t="s">
        <v>202</v>
      </c>
      <c r="K189" s="267" t="s">
        <v>214</v>
      </c>
    </row>
    <row r="190" spans="10:11" ht="15.6" x14ac:dyDescent="0.3">
      <c r="J190" s="275" t="s">
        <v>202</v>
      </c>
      <c r="K190" s="258" t="s">
        <v>203</v>
      </c>
    </row>
    <row r="191" spans="10:11" ht="15.6" x14ac:dyDescent="0.3">
      <c r="J191" s="275" t="s">
        <v>202</v>
      </c>
      <c r="K191" s="258" t="s">
        <v>204</v>
      </c>
    </row>
    <row r="192" spans="10:11" ht="15.6" x14ac:dyDescent="0.3">
      <c r="J192" s="275" t="s">
        <v>202</v>
      </c>
      <c r="K192" s="258" t="s">
        <v>205</v>
      </c>
    </row>
    <row r="193" spans="10:11" ht="15.6" x14ac:dyDescent="0.3">
      <c r="J193" s="275" t="s">
        <v>202</v>
      </c>
      <c r="K193" s="267" t="s">
        <v>206</v>
      </c>
    </row>
    <row r="194" spans="10:11" ht="15.6" x14ac:dyDescent="0.3">
      <c r="J194" s="275" t="s">
        <v>202</v>
      </c>
      <c r="K194" s="258" t="s">
        <v>207</v>
      </c>
    </row>
    <row r="195" spans="10:11" ht="15.6" x14ac:dyDescent="0.3">
      <c r="J195" s="275" t="s">
        <v>202</v>
      </c>
      <c r="K195" s="258" t="s">
        <v>208</v>
      </c>
    </row>
    <row r="196" spans="10:11" ht="15.6" x14ac:dyDescent="0.3">
      <c r="J196" s="275" t="s">
        <v>202</v>
      </c>
      <c r="K196" s="258" t="s">
        <v>667</v>
      </c>
    </row>
    <row r="197" spans="10:11" ht="15.6" x14ac:dyDescent="0.3">
      <c r="J197" s="275" t="s">
        <v>202</v>
      </c>
      <c r="K197" s="258" t="s">
        <v>209</v>
      </c>
    </row>
    <row r="198" spans="10:11" ht="15.6" x14ac:dyDescent="0.3">
      <c r="J198" s="275" t="s">
        <v>202</v>
      </c>
      <c r="K198" s="258" t="s">
        <v>210</v>
      </c>
    </row>
    <row r="199" spans="10:11" ht="15.6" x14ac:dyDescent="0.3">
      <c r="J199" s="275" t="s">
        <v>202</v>
      </c>
      <c r="K199" s="258" t="s">
        <v>212</v>
      </c>
    </row>
    <row r="200" spans="10:11" ht="15.6" x14ac:dyDescent="0.3">
      <c r="J200" s="275" t="s">
        <v>202</v>
      </c>
      <c r="K200" s="280" t="s">
        <v>211</v>
      </c>
    </row>
    <row r="201" spans="10:11" ht="15.6" x14ac:dyDescent="0.3">
      <c r="J201" s="275" t="s">
        <v>202</v>
      </c>
      <c r="K201" s="280" t="s">
        <v>213</v>
      </c>
    </row>
    <row r="202" spans="10:11" ht="15.6" x14ac:dyDescent="0.3">
      <c r="J202" s="275" t="s">
        <v>202</v>
      </c>
      <c r="K202" s="280" t="s">
        <v>215</v>
      </c>
    </row>
    <row r="203" spans="10:11" ht="15.6" x14ac:dyDescent="0.3">
      <c r="J203" s="275" t="s">
        <v>618</v>
      </c>
      <c r="K203" s="280" t="s">
        <v>222</v>
      </c>
    </row>
    <row r="204" spans="10:11" ht="15.6" x14ac:dyDescent="0.3">
      <c r="J204" s="275" t="s">
        <v>618</v>
      </c>
      <c r="K204" s="280" t="s">
        <v>218</v>
      </c>
    </row>
    <row r="205" spans="10:11" ht="15.6" x14ac:dyDescent="0.3">
      <c r="J205" s="275" t="s">
        <v>618</v>
      </c>
      <c r="K205" s="280" t="s">
        <v>219</v>
      </c>
    </row>
    <row r="206" spans="10:11" ht="15.6" x14ac:dyDescent="0.3">
      <c r="J206" s="275" t="s">
        <v>618</v>
      </c>
      <c r="K206" s="280" t="s">
        <v>220</v>
      </c>
    </row>
    <row r="207" spans="10:11" ht="15.6" x14ac:dyDescent="0.3">
      <c r="J207" s="275" t="s">
        <v>618</v>
      </c>
      <c r="K207" s="280" t="s">
        <v>221</v>
      </c>
    </row>
    <row r="208" spans="10:11" ht="15.6" x14ac:dyDescent="0.3">
      <c r="J208" s="275" t="s">
        <v>618</v>
      </c>
      <c r="K208" s="280" t="s">
        <v>216</v>
      </c>
    </row>
    <row r="209" spans="10:11" ht="15.6" x14ac:dyDescent="0.3">
      <c r="J209" s="275" t="s">
        <v>618</v>
      </c>
      <c r="K209" s="280" t="s">
        <v>217</v>
      </c>
    </row>
    <row r="210" spans="10:11" ht="15.6" x14ac:dyDescent="0.3">
      <c r="J210" s="275" t="s">
        <v>67</v>
      </c>
      <c r="K210" s="282" t="s">
        <v>223</v>
      </c>
    </row>
    <row r="211" spans="10:11" ht="15.6" x14ac:dyDescent="0.3">
      <c r="J211" s="275" t="s">
        <v>67</v>
      </c>
      <c r="K211" s="280" t="s">
        <v>225</v>
      </c>
    </row>
    <row r="212" spans="10:11" ht="15.6" x14ac:dyDescent="0.3">
      <c r="J212" s="275" t="s">
        <v>67</v>
      </c>
      <c r="K212" s="280" t="s">
        <v>224</v>
      </c>
    </row>
    <row r="213" spans="10:11" ht="15.6" x14ac:dyDescent="0.3">
      <c r="J213" s="275" t="s">
        <v>226</v>
      </c>
      <c r="K213" s="280" t="s">
        <v>227</v>
      </c>
    </row>
    <row r="214" spans="10:11" ht="15.6" x14ac:dyDescent="0.3">
      <c r="J214" s="275" t="s">
        <v>226</v>
      </c>
      <c r="K214" s="280" t="s">
        <v>228</v>
      </c>
    </row>
    <row r="215" spans="10:11" ht="15.6" x14ac:dyDescent="0.3">
      <c r="J215" s="275" t="s">
        <v>229</v>
      </c>
      <c r="K215" s="280" t="s">
        <v>230</v>
      </c>
    </row>
    <row r="216" spans="10:11" ht="15.6" x14ac:dyDescent="0.3">
      <c r="J216" s="275" t="s">
        <v>229</v>
      </c>
      <c r="K216" s="280" t="s">
        <v>231</v>
      </c>
    </row>
    <row r="217" spans="10:11" ht="15.6" x14ac:dyDescent="0.3">
      <c r="J217" s="275" t="s">
        <v>229</v>
      </c>
      <c r="K217" s="280" t="s">
        <v>668</v>
      </c>
    </row>
    <row r="218" spans="10:11" ht="15.6" x14ac:dyDescent="0.3">
      <c r="J218" s="275" t="s">
        <v>229</v>
      </c>
      <c r="K218" s="280" t="s">
        <v>233</v>
      </c>
    </row>
    <row r="219" spans="10:11" ht="15.6" x14ac:dyDescent="0.3">
      <c r="J219" s="275" t="s">
        <v>229</v>
      </c>
      <c r="K219" s="280" t="s">
        <v>234</v>
      </c>
    </row>
    <row r="220" spans="10:11" ht="15.6" x14ac:dyDescent="0.3">
      <c r="J220" s="275" t="s">
        <v>229</v>
      </c>
      <c r="K220" s="280" t="s">
        <v>235</v>
      </c>
    </row>
    <row r="221" spans="10:11" ht="15.6" x14ac:dyDescent="0.3">
      <c r="J221" s="275" t="s">
        <v>229</v>
      </c>
      <c r="K221" s="280" t="s">
        <v>236</v>
      </c>
    </row>
    <row r="222" spans="10:11" ht="15.6" x14ac:dyDescent="0.3">
      <c r="J222" s="275" t="s">
        <v>229</v>
      </c>
      <c r="K222" s="280" t="s">
        <v>237</v>
      </c>
    </row>
    <row r="223" spans="10:11" ht="15.6" x14ac:dyDescent="0.3">
      <c r="J223" s="275" t="s">
        <v>229</v>
      </c>
      <c r="K223" s="280" t="s">
        <v>232</v>
      </c>
    </row>
    <row r="224" spans="10:11" ht="15.6" x14ac:dyDescent="0.3">
      <c r="J224" s="275" t="s">
        <v>238</v>
      </c>
      <c r="K224" s="280" t="s">
        <v>669</v>
      </c>
    </row>
    <row r="225" spans="10:11" ht="15.6" x14ac:dyDescent="0.3">
      <c r="J225" s="275" t="s">
        <v>238</v>
      </c>
      <c r="K225" s="280" t="s">
        <v>240</v>
      </c>
    </row>
    <row r="226" spans="10:11" ht="15.6" x14ac:dyDescent="0.3">
      <c r="J226" s="275" t="s">
        <v>238</v>
      </c>
      <c r="K226" s="258" t="s">
        <v>241</v>
      </c>
    </row>
    <row r="227" spans="10:11" ht="15.6" x14ac:dyDescent="0.3">
      <c r="J227" s="275" t="s">
        <v>238</v>
      </c>
      <c r="K227" s="258" t="s">
        <v>239</v>
      </c>
    </row>
    <row r="228" spans="10:11" ht="15.6" x14ac:dyDescent="0.3">
      <c r="J228" s="275" t="s">
        <v>242</v>
      </c>
      <c r="K228" s="258" t="s">
        <v>243</v>
      </c>
    </row>
    <row r="229" spans="10:11" ht="15.6" x14ac:dyDescent="0.3">
      <c r="J229" s="275" t="s">
        <v>242</v>
      </c>
      <c r="K229" s="258" t="s">
        <v>244</v>
      </c>
    </row>
    <row r="230" spans="10:11" ht="15.6" x14ac:dyDescent="0.3">
      <c r="J230" s="275" t="s">
        <v>242</v>
      </c>
      <c r="K230" s="258" t="s">
        <v>245</v>
      </c>
    </row>
    <row r="231" spans="10:11" ht="15.6" x14ac:dyDescent="0.3">
      <c r="J231" s="275" t="s">
        <v>246</v>
      </c>
      <c r="K231" s="258" t="s">
        <v>247</v>
      </c>
    </row>
    <row r="232" spans="10:11" ht="15.6" x14ac:dyDescent="0.3">
      <c r="J232" s="275" t="s">
        <v>248</v>
      </c>
      <c r="K232" s="258" t="s">
        <v>670</v>
      </c>
    </row>
    <row r="233" spans="10:11" ht="15.6" x14ac:dyDescent="0.3">
      <c r="J233" s="275" t="s">
        <v>248</v>
      </c>
      <c r="K233" s="258" t="s">
        <v>250</v>
      </c>
    </row>
    <row r="234" spans="10:11" ht="15.6" x14ac:dyDescent="0.3">
      <c r="J234" s="275" t="s">
        <v>619</v>
      </c>
      <c r="K234" s="258" t="s">
        <v>671</v>
      </c>
    </row>
    <row r="235" spans="10:11" ht="15.6" x14ac:dyDescent="0.3">
      <c r="J235" s="275" t="s">
        <v>619</v>
      </c>
      <c r="K235" s="258" t="s">
        <v>252</v>
      </c>
    </row>
    <row r="236" spans="10:11" ht="15.6" x14ac:dyDescent="0.3">
      <c r="J236" s="275" t="s">
        <v>619</v>
      </c>
      <c r="K236" s="258" t="s">
        <v>253</v>
      </c>
    </row>
    <row r="237" spans="10:11" ht="15.6" x14ac:dyDescent="0.3">
      <c r="J237" s="275" t="s">
        <v>619</v>
      </c>
      <c r="K237" s="258" t="s">
        <v>251</v>
      </c>
    </row>
    <row r="238" spans="10:11" ht="15.6" x14ac:dyDescent="0.3">
      <c r="J238" s="275" t="s">
        <v>254</v>
      </c>
      <c r="K238" s="258" t="s">
        <v>672</v>
      </c>
    </row>
    <row r="239" spans="10:11" ht="15.6" x14ac:dyDescent="0.3">
      <c r="J239" s="275" t="s">
        <v>254</v>
      </c>
      <c r="K239" s="258" t="s">
        <v>256</v>
      </c>
    </row>
    <row r="240" spans="10:11" ht="15.6" x14ac:dyDescent="0.3">
      <c r="J240" s="275" t="s">
        <v>254</v>
      </c>
      <c r="K240" s="258" t="s">
        <v>257</v>
      </c>
    </row>
    <row r="241" spans="10:11" ht="15.6" x14ac:dyDescent="0.3">
      <c r="J241" s="275" t="s">
        <v>254</v>
      </c>
      <c r="K241" s="258" t="s">
        <v>673</v>
      </c>
    </row>
    <row r="242" spans="10:11" ht="15.6" x14ac:dyDescent="0.3">
      <c r="J242" s="275" t="s">
        <v>254</v>
      </c>
      <c r="K242" s="258" t="s">
        <v>264</v>
      </c>
    </row>
    <row r="243" spans="10:11" ht="15.6" x14ac:dyDescent="0.3">
      <c r="J243" s="275" t="s">
        <v>254</v>
      </c>
      <c r="K243" s="258" t="s">
        <v>259</v>
      </c>
    </row>
    <row r="244" spans="10:11" ht="15.6" x14ac:dyDescent="0.3">
      <c r="J244" s="275" t="s">
        <v>254</v>
      </c>
      <c r="K244" s="258" t="s">
        <v>674</v>
      </c>
    </row>
    <row r="245" spans="10:11" ht="15.6" x14ac:dyDescent="0.3">
      <c r="J245" s="275" t="s">
        <v>254</v>
      </c>
      <c r="K245" s="258" t="s">
        <v>260</v>
      </c>
    </row>
    <row r="246" spans="10:11" ht="15.6" x14ac:dyDescent="0.3">
      <c r="J246" s="275" t="s">
        <v>254</v>
      </c>
      <c r="K246" s="258" t="s">
        <v>675</v>
      </c>
    </row>
    <row r="247" spans="10:11" ht="15.6" x14ac:dyDescent="0.3">
      <c r="J247" s="275" t="s">
        <v>254</v>
      </c>
      <c r="K247" s="258" t="s">
        <v>261</v>
      </c>
    </row>
    <row r="248" spans="10:11" ht="15.6" x14ac:dyDescent="0.3">
      <c r="J248" s="275" t="s">
        <v>254</v>
      </c>
      <c r="K248" s="258" t="s">
        <v>262</v>
      </c>
    </row>
    <row r="249" spans="10:11" ht="15.6" x14ac:dyDescent="0.3">
      <c r="J249" s="275" t="s">
        <v>254</v>
      </c>
      <c r="K249" s="258" t="s">
        <v>676</v>
      </c>
    </row>
    <row r="250" spans="10:11" ht="15.6" x14ac:dyDescent="0.3">
      <c r="J250" s="275" t="s">
        <v>254</v>
      </c>
      <c r="K250" s="258" t="s">
        <v>1635</v>
      </c>
    </row>
    <row r="251" spans="10:11" ht="15.6" x14ac:dyDescent="0.3">
      <c r="J251" s="275" t="s">
        <v>254</v>
      </c>
      <c r="K251" s="258" t="s">
        <v>263</v>
      </c>
    </row>
    <row r="252" spans="10:11" ht="15.6" x14ac:dyDescent="0.3">
      <c r="J252" s="275" t="s">
        <v>254</v>
      </c>
      <c r="K252" s="258" t="s">
        <v>677</v>
      </c>
    </row>
    <row r="253" spans="10:11" ht="15.6" x14ac:dyDescent="0.3">
      <c r="J253" s="275" t="s">
        <v>254</v>
      </c>
      <c r="K253" s="258" t="s">
        <v>258</v>
      </c>
    </row>
    <row r="254" spans="10:11" ht="15.6" x14ac:dyDescent="0.3">
      <c r="J254" s="275" t="s">
        <v>265</v>
      </c>
      <c r="K254" s="258" t="s">
        <v>678</v>
      </c>
    </row>
    <row r="255" spans="10:11" ht="15.6" x14ac:dyDescent="0.3">
      <c r="J255" s="275" t="s">
        <v>265</v>
      </c>
      <c r="K255" s="258" t="s">
        <v>266</v>
      </c>
    </row>
    <row r="256" spans="10:11" ht="15.6" x14ac:dyDescent="0.3">
      <c r="J256" s="275" t="s">
        <v>267</v>
      </c>
      <c r="K256" s="258" t="s">
        <v>268</v>
      </c>
    </row>
    <row r="257" spans="10:11" ht="15.6" x14ac:dyDescent="0.3">
      <c r="J257" s="275" t="s">
        <v>620</v>
      </c>
      <c r="K257" s="258" t="s">
        <v>9</v>
      </c>
    </row>
    <row r="258" spans="10:11" ht="15.6" x14ac:dyDescent="0.3">
      <c r="J258" s="275" t="s">
        <v>620</v>
      </c>
      <c r="K258" s="258" t="s">
        <v>10</v>
      </c>
    </row>
    <row r="259" spans="10:11" ht="15.6" x14ac:dyDescent="0.3">
      <c r="J259" s="275" t="s">
        <v>620</v>
      </c>
      <c r="K259" s="258" t="s">
        <v>11</v>
      </c>
    </row>
    <row r="260" spans="10:11" ht="15.6" x14ac:dyDescent="0.3">
      <c r="J260" s="275" t="s">
        <v>620</v>
      </c>
      <c r="K260" s="258" t="s">
        <v>12</v>
      </c>
    </row>
    <row r="261" spans="10:11" ht="15.6" x14ac:dyDescent="0.3">
      <c r="J261" s="275" t="s">
        <v>269</v>
      </c>
      <c r="K261" s="258" t="s">
        <v>270</v>
      </c>
    </row>
    <row r="262" spans="10:11" ht="15.6" x14ac:dyDescent="0.3">
      <c r="J262" s="275" t="s">
        <v>269</v>
      </c>
      <c r="K262" s="258" t="s">
        <v>271</v>
      </c>
    </row>
    <row r="263" spans="10:11" ht="15.6" x14ac:dyDescent="0.3">
      <c r="J263" s="275" t="s">
        <v>269</v>
      </c>
      <c r="K263" s="258" t="s">
        <v>272</v>
      </c>
    </row>
    <row r="264" spans="10:11" ht="15.6" x14ac:dyDescent="0.3">
      <c r="J264" s="275" t="s">
        <v>269</v>
      </c>
      <c r="K264" s="258" t="s">
        <v>273</v>
      </c>
    </row>
    <row r="265" spans="10:11" ht="15.6" x14ac:dyDescent="0.3">
      <c r="J265" s="275" t="s">
        <v>269</v>
      </c>
      <c r="K265" s="258" t="s">
        <v>274</v>
      </c>
    </row>
    <row r="266" spans="10:11" ht="15.6" x14ac:dyDescent="0.3">
      <c r="J266" s="275" t="s">
        <v>275</v>
      </c>
      <c r="K266" s="258" t="s">
        <v>276</v>
      </c>
    </row>
    <row r="267" spans="10:11" ht="15.6" x14ac:dyDescent="0.3">
      <c r="J267" s="275" t="s">
        <v>275</v>
      </c>
      <c r="K267" s="258" t="s">
        <v>1634</v>
      </c>
    </row>
    <row r="268" spans="10:11" ht="15.6" x14ac:dyDescent="0.3">
      <c r="J268" s="275" t="s">
        <v>275</v>
      </c>
      <c r="K268" s="258" t="s">
        <v>277</v>
      </c>
    </row>
    <row r="269" spans="10:11" ht="15.6" x14ac:dyDescent="0.3">
      <c r="J269" s="275" t="s">
        <v>275</v>
      </c>
      <c r="K269" s="258" t="s">
        <v>279</v>
      </c>
    </row>
    <row r="270" spans="10:11" ht="15.6" x14ac:dyDescent="0.3">
      <c r="J270" s="275" t="s">
        <v>275</v>
      </c>
      <c r="K270" s="258" t="s">
        <v>280</v>
      </c>
    </row>
    <row r="271" spans="10:11" ht="15.6" x14ac:dyDescent="0.3">
      <c r="J271" s="275" t="s">
        <v>275</v>
      </c>
      <c r="K271" s="258" t="s">
        <v>281</v>
      </c>
    </row>
    <row r="272" spans="10:11" ht="15.6" x14ac:dyDescent="0.3">
      <c r="J272" s="275" t="s">
        <v>275</v>
      </c>
      <c r="K272" s="258" t="s">
        <v>679</v>
      </c>
    </row>
    <row r="273" spans="10:11" ht="15.6" x14ac:dyDescent="0.3">
      <c r="J273" s="275" t="s">
        <v>275</v>
      </c>
      <c r="K273" s="258" t="s">
        <v>680</v>
      </c>
    </row>
    <row r="274" spans="10:11" ht="15.6" x14ac:dyDescent="0.3">
      <c r="J274" s="275" t="s">
        <v>275</v>
      </c>
      <c r="K274" s="258" t="s">
        <v>282</v>
      </c>
    </row>
    <row r="275" spans="10:11" ht="15.6" x14ac:dyDescent="0.3">
      <c r="J275" s="275" t="s">
        <v>275</v>
      </c>
      <c r="K275" s="258" t="s">
        <v>278</v>
      </c>
    </row>
    <row r="276" spans="10:11" ht="15.6" x14ac:dyDescent="0.3">
      <c r="J276" s="275" t="s">
        <v>2</v>
      </c>
      <c r="K276" s="258" t="s">
        <v>283</v>
      </c>
    </row>
    <row r="277" spans="10:11" ht="15.6" x14ac:dyDescent="0.3">
      <c r="J277" s="275" t="s">
        <v>2</v>
      </c>
      <c r="K277" s="258" t="s">
        <v>284</v>
      </c>
    </row>
    <row r="278" spans="10:11" ht="15.6" x14ac:dyDescent="0.3">
      <c r="J278" s="275" t="s">
        <v>2</v>
      </c>
      <c r="K278" s="258" t="s">
        <v>94</v>
      </c>
    </row>
    <row r="279" spans="10:11" ht="15.6" x14ac:dyDescent="0.3">
      <c r="J279" s="275" t="s">
        <v>68</v>
      </c>
      <c r="K279" s="258" t="s">
        <v>69</v>
      </c>
    </row>
    <row r="280" spans="10:11" ht="15.6" x14ac:dyDescent="0.3">
      <c r="J280" s="275" t="s">
        <v>68</v>
      </c>
      <c r="K280" s="258" t="s">
        <v>70</v>
      </c>
    </row>
    <row r="281" spans="10:11" ht="15.6" x14ac:dyDescent="0.3">
      <c r="J281" s="275" t="s">
        <v>98</v>
      </c>
      <c r="K281" s="258" t="s">
        <v>99</v>
      </c>
    </row>
    <row r="282" spans="10:11" ht="15.6" x14ac:dyDescent="0.3">
      <c r="J282" s="275" t="s">
        <v>458</v>
      </c>
      <c r="K282" s="258" t="s">
        <v>285</v>
      </c>
    </row>
    <row r="283" spans="10:11" ht="15.6" x14ac:dyDescent="0.3">
      <c r="J283" s="275" t="s">
        <v>329</v>
      </c>
      <c r="K283" s="258" t="s">
        <v>330</v>
      </c>
    </row>
    <row r="284" spans="10:11" ht="15.6" x14ac:dyDescent="0.3">
      <c r="J284" s="275" t="s">
        <v>329</v>
      </c>
      <c r="K284" s="258" t="s">
        <v>331</v>
      </c>
    </row>
    <row r="285" spans="10:11" ht="15.6" x14ac:dyDescent="0.3">
      <c r="J285" s="275" t="s">
        <v>329</v>
      </c>
      <c r="K285" s="258" t="s">
        <v>332</v>
      </c>
    </row>
    <row r="286" spans="10:11" ht="15.6" x14ac:dyDescent="0.3">
      <c r="J286" s="275" t="s">
        <v>329</v>
      </c>
      <c r="K286" s="258" t="s">
        <v>333</v>
      </c>
    </row>
    <row r="287" spans="10:11" ht="15.6" x14ac:dyDescent="0.3">
      <c r="J287" s="275" t="s">
        <v>329</v>
      </c>
      <c r="K287" s="258" t="s">
        <v>334</v>
      </c>
    </row>
    <row r="288" spans="10:11" ht="15.6" x14ac:dyDescent="0.3">
      <c r="J288" s="275" t="s">
        <v>329</v>
      </c>
      <c r="K288" s="258" t="s">
        <v>681</v>
      </c>
    </row>
    <row r="289" spans="10:11" ht="15.6" x14ac:dyDescent="0.3">
      <c r="J289" s="275" t="s">
        <v>329</v>
      </c>
      <c r="K289" s="258" t="s">
        <v>335</v>
      </c>
    </row>
    <row r="290" spans="10:11" ht="15.6" x14ac:dyDescent="0.3">
      <c r="J290" s="275" t="s">
        <v>145</v>
      </c>
      <c r="K290" s="258" t="s">
        <v>153</v>
      </c>
    </row>
    <row r="291" spans="10:11" ht="15.6" x14ac:dyDescent="0.3">
      <c r="J291" s="275" t="s">
        <v>145</v>
      </c>
      <c r="K291" s="258" t="s">
        <v>154</v>
      </c>
    </row>
    <row r="292" spans="10:11" ht="15.6" x14ac:dyDescent="0.3">
      <c r="J292" s="275" t="s">
        <v>145</v>
      </c>
      <c r="K292" s="258" t="s">
        <v>682</v>
      </c>
    </row>
    <row r="293" spans="10:11" ht="15.6" x14ac:dyDescent="0.3">
      <c r="J293" s="275" t="s">
        <v>145</v>
      </c>
      <c r="K293" s="258" t="s">
        <v>147</v>
      </c>
    </row>
    <row r="294" spans="10:11" ht="15.6" x14ac:dyDescent="0.3">
      <c r="J294" s="275" t="s">
        <v>145</v>
      </c>
      <c r="K294" s="258" t="s">
        <v>146</v>
      </c>
    </row>
    <row r="295" spans="10:11" ht="15.6" x14ac:dyDescent="0.3">
      <c r="J295" s="275" t="s">
        <v>145</v>
      </c>
      <c r="K295" s="258" t="s">
        <v>148</v>
      </c>
    </row>
    <row r="296" spans="10:11" ht="15.6" x14ac:dyDescent="0.3">
      <c r="J296" s="275" t="s">
        <v>145</v>
      </c>
      <c r="K296" s="258" t="s">
        <v>683</v>
      </c>
    </row>
    <row r="297" spans="10:11" ht="15.6" x14ac:dyDescent="0.3">
      <c r="J297" s="275" t="s">
        <v>145</v>
      </c>
      <c r="K297" s="258" t="s">
        <v>152</v>
      </c>
    </row>
    <row r="298" spans="10:11" ht="15.6" x14ac:dyDescent="0.3">
      <c r="J298" s="275" t="s">
        <v>145</v>
      </c>
      <c r="K298" s="258" t="s">
        <v>151</v>
      </c>
    </row>
    <row r="299" spans="10:11" ht="15.6" x14ac:dyDescent="0.3">
      <c r="J299" s="275" t="s">
        <v>145</v>
      </c>
      <c r="K299" s="258" t="s">
        <v>150</v>
      </c>
    </row>
    <row r="300" spans="10:11" ht="15.6" x14ac:dyDescent="0.3">
      <c r="J300" s="275" t="s">
        <v>145</v>
      </c>
      <c r="K300" s="258" t="s">
        <v>149</v>
      </c>
    </row>
    <row r="301" spans="10:11" ht="15.6" x14ac:dyDescent="0.3">
      <c r="J301" s="275" t="s">
        <v>197</v>
      </c>
      <c r="K301" s="258" t="s">
        <v>198</v>
      </c>
    </row>
    <row r="302" spans="10:11" ht="15.6" x14ac:dyDescent="0.3">
      <c r="J302" s="275" t="s">
        <v>288</v>
      </c>
      <c r="K302" s="258" t="s">
        <v>289</v>
      </c>
    </row>
    <row r="303" spans="10:11" ht="15.6" x14ac:dyDescent="0.3">
      <c r="J303" s="275" t="s">
        <v>336</v>
      </c>
      <c r="K303" s="258" t="s">
        <v>337</v>
      </c>
    </row>
    <row r="304" spans="10:11" ht="15.6" x14ac:dyDescent="0.3">
      <c r="J304" s="275" t="s">
        <v>336</v>
      </c>
      <c r="K304" s="258" t="s">
        <v>338</v>
      </c>
    </row>
    <row r="305" spans="10:11" ht="15.6" x14ac:dyDescent="0.3">
      <c r="J305" s="275" t="s">
        <v>336</v>
      </c>
      <c r="K305" s="258" t="s">
        <v>339</v>
      </c>
    </row>
    <row r="306" spans="10:11" ht="15.6" x14ac:dyDescent="0.3">
      <c r="J306" s="275" t="s">
        <v>336</v>
      </c>
      <c r="K306" s="258" t="s">
        <v>340</v>
      </c>
    </row>
    <row r="307" spans="10:11" ht="15.6" x14ac:dyDescent="0.3">
      <c r="J307" s="275" t="s">
        <v>336</v>
      </c>
      <c r="K307" s="258" t="s">
        <v>341</v>
      </c>
    </row>
    <row r="308" spans="10:11" ht="15.6" x14ac:dyDescent="0.3">
      <c r="J308" s="275" t="s">
        <v>336</v>
      </c>
      <c r="K308" s="258" t="s">
        <v>342</v>
      </c>
    </row>
    <row r="309" spans="10:11" ht="15.6" x14ac:dyDescent="0.3">
      <c r="J309" s="275" t="s">
        <v>336</v>
      </c>
      <c r="K309" s="258" t="s">
        <v>374</v>
      </c>
    </row>
    <row r="310" spans="10:11" ht="15.6" x14ac:dyDescent="0.3">
      <c r="J310" s="275" t="s">
        <v>336</v>
      </c>
      <c r="K310" s="258" t="s">
        <v>375</v>
      </c>
    </row>
    <row r="311" spans="10:11" ht="15.6" x14ac:dyDescent="0.3">
      <c r="J311" s="275" t="s">
        <v>336</v>
      </c>
      <c r="K311" s="258" t="s">
        <v>376</v>
      </c>
    </row>
    <row r="312" spans="10:11" ht="15.6" x14ac:dyDescent="0.3">
      <c r="J312" s="275" t="s">
        <v>336</v>
      </c>
      <c r="K312" s="258" t="s">
        <v>377</v>
      </c>
    </row>
    <row r="313" spans="10:11" ht="15.6" x14ac:dyDescent="0.3">
      <c r="J313" s="275" t="s">
        <v>336</v>
      </c>
      <c r="K313" s="258" t="s">
        <v>346</v>
      </c>
    </row>
    <row r="314" spans="10:11" ht="15.6" x14ac:dyDescent="0.3">
      <c r="J314" s="275" t="s">
        <v>336</v>
      </c>
      <c r="K314" s="258" t="s">
        <v>347</v>
      </c>
    </row>
    <row r="315" spans="10:11" ht="15.6" x14ac:dyDescent="0.3">
      <c r="J315" s="275" t="s">
        <v>336</v>
      </c>
      <c r="K315" s="258" t="s">
        <v>348</v>
      </c>
    </row>
    <row r="316" spans="10:11" ht="15.6" x14ac:dyDescent="0.3">
      <c r="J316" s="275" t="s">
        <v>336</v>
      </c>
      <c r="K316" s="258" t="s">
        <v>345</v>
      </c>
    </row>
    <row r="317" spans="10:11" ht="15.6" x14ac:dyDescent="0.3">
      <c r="J317" s="275" t="s">
        <v>336</v>
      </c>
      <c r="K317" s="258" t="s">
        <v>349</v>
      </c>
    </row>
    <row r="318" spans="10:11" ht="15.6" x14ac:dyDescent="0.3">
      <c r="J318" s="275" t="s">
        <v>336</v>
      </c>
      <c r="K318" s="258" t="s">
        <v>379</v>
      </c>
    </row>
    <row r="319" spans="10:11" ht="15.6" x14ac:dyDescent="0.3">
      <c r="J319" s="275" t="s">
        <v>336</v>
      </c>
      <c r="K319" s="258" t="s">
        <v>380</v>
      </c>
    </row>
    <row r="320" spans="10:11" ht="15.6" x14ac:dyDescent="0.3">
      <c r="J320" s="275" t="s">
        <v>336</v>
      </c>
      <c r="K320" s="258" t="s">
        <v>350</v>
      </c>
    </row>
    <row r="321" spans="10:11" ht="15.6" x14ac:dyDescent="0.3">
      <c r="J321" s="275" t="s">
        <v>336</v>
      </c>
      <c r="K321" s="258" t="s">
        <v>684</v>
      </c>
    </row>
    <row r="322" spans="10:11" ht="15.6" x14ac:dyDescent="0.3">
      <c r="J322" s="275" t="s">
        <v>336</v>
      </c>
      <c r="K322" s="258" t="s">
        <v>685</v>
      </c>
    </row>
    <row r="323" spans="10:11" ht="15.6" x14ac:dyDescent="0.3">
      <c r="J323" s="275" t="s">
        <v>336</v>
      </c>
      <c r="K323" s="258" t="s">
        <v>351</v>
      </c>
    </row>
    <row r="324" spans="10:11" ht="15.6" x14ac:dyDescent="0.3">
      <c r="J324" s="275" t="s">
        <v>336</v>
      </c>
      <c r="K324" s="258" t="s">
        <v>352</v>
      </c>
    </row>
    <row r="325" spans="10:11" ht="15.6" x14ac:dyDescent="0.3">
      <c r="J325" s="275" t="s">
        <v>336</v>
      </c>
      <c r="K325" s="258" t="s">
        <v>353</v>
      </c>
    </row>
    <row r="326" spans="10:11" ht="15.6" x14ac:dyDescent="0.3">
      <c r="J326" s="275" t="s">
        <v>336</v>
      </c>
      <c r="K326" s="258" t="s">
        <v>354</v>
      </c>
    </row>
    <row r="327" spans="10:11" ht="15.6" x14ac:dyDescent="0.3">
      <c r="J327" s="275" t="s">
        <v>336</v>
      </c>
      <c r="K327" s="258" t="s">
        <v>355</v>
      </c>
    </row>
    <row r="328" spans="10:11" ht="15.6" x14ac:dyDescent="0.3">
      <c r="J328" s="275" t="s">
        <v>336</v>
      </c>
      <c r="K328" s="258" t="s">
        <v>356</v>
      </c>
    </row>
    <row r="329" spans="10:11" ht="15.6" x14ac:dyDescent="0.3">
      <c r="J329" s="275" t="s">
        <v>336</v>
      </c>
      <c r="K329" s="258" t="s">
        <v>359</v>
      </c>
    </row>
    <row r="330" spans="10:11" ht="15.6" x14ac:dyDescent="0.3">
      <c r="J330" s="275" t="s">
        <v>336</v>
      </c>
      <c r="K330" s="258" t="s">
        <v>357</v>
      </c>
    </row>
    <row r="331" spans="10:11" ht="15.6" x14ac:dyDescent="0.3">
      <c r="J331" s="275" t="s">
        <v>336</v>
      </c>
      <c r="K331" s="258" t="s">
        <v>358</v>
      </c>
    </row>
    <row r="332" spans="10:11" ht="15.6" x14ac:dyDescent="0.3">
      <c r="J332" s="275" t="s">
        <v>336</v>
      </c>
      <c r="K332" s="258" t="s">
        <v>686</v>
      </c>
    </row>
    <row r="333" spans="10:11" ht="15.6" x14ac:dyDescent="0.3">
      <c r="J333" s="275" t="s">
        <v>336</v>
      </c>
      <c r="K333" s="258" t="s">
        <v>360</v>
      </c>
    </row>
    <row r="334" spans="10:11" ht="15.6" x14ac:dyDescent="0.3">
      <c r="J334" s="275" t="s">
        <v>336</v>
      </c>
      <c r="K334" s="258" t="s">
        <v>361</v>
      </c>
    </row>
    <row r="335" spans="10:11" ht="15.6" x14ac:dyDescent="0.3">
      <c r="J335" s="275" t="s">
        <v>336</v>
      </c>
      <c r="K335" s="258" t="s">
        <v>363</v>
      </c>
    </row>
    <row r="336" spans="10:11" ht="15.6" x14ac:dyDescent="0.3">
      <c r="J336" s="275" t="s">
        <v>336</v>
      </c>
      <c r="K336" s="258" t="s">
        <v>365</v>
      </c>
    </row>
    <row r="337" spans="10:11" ht="15.6" x14ac:dyDescent="0.3">
      <c r="J337" s="275" t="s">
        <v>336</v>
      </c>
      <c r="K337" s="258" t="s">
        <v>364</v>
      </c>
    </row>
    <row r="338" spans="10:11" ht="15.6" x14ac:dyDescent="0.3">
      <c r="J338" s="275" t="s">
        <v>336</v>
      </c>
      <c r="K338" s="258" t="s">
        <v>366</v>
      </c>
    </row>
    <row r="339" spans="10:11" ht="15.6" x14ac:dyDescent="0.3">
      <c r="J339" s="275" t="s">
        <v>336</v>
      </c>
      <c r="K339" s="258" t="s">
        <v>687</v>
      </c>
    </row>
    <row r="340" spans="10:11" ht="15.6" x14ac:dyDescent="0.3">
      <c r="J340" s="275" t="s">
        <v>336</v>
      </c>
      <c r="K340" s="258" t="s">
        <v>367</v>
      </c>
    </row>
    <row r="341" spans="10:11" ht="15.6" x14ac:dyDescent="0.3">
      <c r="J341" s="275" t="s">
        <v>336</v>
      </c>
      <c r="K341" s="258" t="s">
        <v>368</v>
      </c>
    </row>
    <row r="342" spans="10:11" ht="15.6" x14ac:dyDescent="0.3">
      <c r="J342" s="275" t="s">
        <v>336</v>
      </c>
      <c r="K342" s="258" t="s">
        <v>369</v>
      </c>
    </row>
    <row r="343" spans="10:11" ht="15.6" x14ac:dyDescent="0.3">
      <c r="J343" s="275" t="s">
        <v>336</v>
      </c>
      <c r="K343" s="258" t="s">
        <v>688</v>
      </c>
    </row>
    <row r="344" spans="10:11" ht="15.6" x14ac:dyDescent="0.3">
      <c r="J344" s="275" t="s">
        <v>336</v>
      </c>
      <c r="K344" s="258" t="s">
        <v>370</v>
      </c>
    </row>
    <row r="345" spans="10:11" ht="15.6" x14ac:dyDescent="0.3">
      <c r="J345" s="275" t="s">
        <v>336</v>
      </c>
      <c r="K345" s="258" t="s">
        <v>371</v>
      </c>
    </row>
    <row r="346" spans="10:11" ht="15.6" x14ac:dyDescent="0.3">
      <c r="J346" s="275" t="s">
        <v>336</v>
      </c>
      <c r="K346" s="258" t="s">
        <v>372</v>
      </c>
    </row>
    <row r="347" spans="10:11" ht="15.6" x14ac:dyDescent="0.3">
      <c r="J347" s="275" t="s">
        <v>336</v>
      </c>
      <c r="K347" s="258" t="s">
        <v>373</v>
      </c>
    </row>
    <row r="348" spans="10:11" ht="15.6" x14ac:dyDescent="0.3">
      <c r="J348" s="275" t="s">
        <v>336</v>
      </c>
      <c r="K348" s="258" t="s">
        <v>343</v>
      </c>
    </row>
    <row r="349" spans="10:11" ht="15.6" x14ac:dyDescent="0.3">
      <c r="J349" s="275" t="s">
        <v>336</v>
      </c>
      <c r="K349" s="258" t="s">
        <v>344</v>
      </c>
    </row>
    <row r="350" spans="10:11" ht="15.6" x14ac:dyDescent="0.3">
      <c r="J350" s="275" t="s">
        <v>336</v>
      </c>
      <c r="K350" s="258" t="s">
        <v>362</v>
      </c>
    </row>
    <row r="351" spans="10:11" ht="15.6" x14ac:dyDescent="0.3">
      <c r="J351" s="275" t="s">
        <v>336</v>
      </c>
      <c r="K351" s="258" t="s">
        <v>689</v>
      </c>
    </row>
    <row r="352" spans="10:11" ht="15.6" x14ac:dyDescent="0.3">
      <c r="J352" s="275" t="s">
        <v>336</v>
      </c>
      <c r="K352" s="258" t="s">
        <v>378</v>
      </c>
    </row>
    <row r="353" spans="10:11" ht="15.6" x14ac:dyDescent="0.3">
      <c r="J353" s="275" t="s">
        <v>621</v>
      </c>
      <c r="K353" s="258" t="s">
        <v>290</v>
      </c>
    </row>
    <row r="354" spans="10:11" ht="15.6" x14ac:dyDescent="0.3">
      <c r="J354" s="275" t="s">
        <v>381</v>
      </c>
      <c r="K354" s="258" t="s">
        <v>382</v>
      </c>
    </row>
    <row r="355" spans="10:11" ht="15.6" x14ac:dyDescent="0.3">
      <c r="J355" s="275" t="s">
        <v>381</v>
      </c>
      <c r="K355" s="258" t="s">
        <v>383</v>
      </c>
    </row>
    <row r="356" spans="10:11" ht="15.6" x14ac:dyDescent="0.3">
      <c r="J356" s="275" t="s">
        <v>381</v>
      </c>
      <c r="K356" s="258" t="s">
        <v>384</v>
      </c>
    </row>
    <row r="357" spans="10:11" ht="15.6" x14ac:dyDescent="0.3">
      <c r="J357" s="275" t="s">
        <v>622</v>
      </c>
      <c r="K357" s="258" t="s">
        <v>391</v>
      </c>
    </row>
    <row r="358" spans="10:11" ht="15.6" x14ac:dyDescent="0.3">
      <c r="J358" s="275" t="s">
        <v>623</v>
      </c>
      <c r="K358" s="258" t="s">
        <v>286</v>
      </c>
    </row>
    <row r="359" spans="10:11" ht="15.6" x14ac:dyDescent="0.3">
      <c r="J359" s="275" t="s">
        <v>623</v>
      </c>
      <c r="K359" s="258" t="s">
        <v>287</v>
      </c>
    </row>
    <row r="360" spans="10:11" ht="15.6" x14ac:dyDescent="0.3">
      <c r="J360" s="275" t="s">
        <v>291</v>
      </c>
      <c r="K360" s="258" t="s">
        <v>292</v>
      </c>
    </row>
    <row r="361" spans="10:11" ht="15.6" x14ac:dyDescent="0.3">
      <c r="J361" s="275" t="s">
        <v>291</v>
      </c>
      <c r="K361" s="258" t="s">
        <v>690</v>
      </c>
    </row>
    <row r="362" spans="10:11" ht="15.6" x14ac:dyDescent="0.3">
      <c r="J362" s="275" t="s">
        <v>291</v>
      </c>
      <c r="K362" s="258" t="s">
        <v>1597</v>
      </c>
    </row>
    <row r="363" spans="10:11" ht="15.6" x14ac:dyDescent="0.3">
      <c r="J363" s="275" t="s">
        <v>294</v>
      </c>
      <c r="K363" s="258" t="s">
        <v>295</v>
      </c>
    </row>
    <row r="364" spans="10:11" ht="15.6" x14ac:dyDescent="0.3">
      <c r="J364" s="275" t="s">
        <v>307</v>
      </c>
      <c r="K364" s="258" t="s">
        <v>308</v>
      </c>
    </row>
    <row r="365" spans="10:11" ht="15.6" x14ac:dyDescent="0.3">
      <c r="J365" s="275" t="s">
        <v>624</v>
      </c>
      <c r="K365" s="258" t="s">
        <v>691</v>
      </c>
    </row>
    <row r="366" spans="10:11" ht="15.6" x14ac:dyDescent="0.3">
      <c r="J366" s="275" t="s">
        <v>249</v>
      </c>
      <c r="K366" s="258" t="s">
        <v>309</v>
      </c>
    </row>
    <row r="367" spans="10:11" ht="15.6" x14ac:dyDescent="0.3">
      <c r="J367" s="275" t="s">
        <v>249</v>
      </c>
      <c r="K367" s="275" t="s">
        <v>310</v>
      </c>
    </row>
    <row r="368" spans="10:11" ht="15.6" x14ac:dyDescent="0.3">
      <c r="J368" s="275" t="s">
        <v>249</v>
      </c>
      <c r="K368" s="258" t="s">
        <v>311</v>
      </c>
    </row>
    <row r="369" spans="10:11" ht="15.6" x14ac:dyDescent="0.3">
      <c r="J369" s="275" t="s">
        <v>296</v>
      </c>
      <c r="K369" s="258" t="s">
        <v>692</v>
      </c>
    </row>
    <row r="370" spans="10:11" ht="15.6" x14ac:dyDescent="0.3">
      <c r="J370" s="275" t="s">
        <v>296</v>
      </c>
      <c r="K370" s="258" t="s">
        <v>297</v>
      </c>
    </row>
    <row r="371" spans="10:11" ht="15.6" x14ac:dyDescent="0.3">
      <c r="J371" s="275" t="s">
        <v>296</v>
      </c>
      <c r="K371" s="258" t="s">
        <v>298</v>
      </c>
    </row>
    <row r="372" spans="10:11" ht="15.6" x14ac:dyDescent="0.3">
      <c r="J372" s="275" t="s">
        <v>296</v>
      </c>
      <c r="K372" s="258" t="s">
        <v>299</v>
      </c>
    </row>
    <row r="373" spans="10:11" ht="15.6" x14ac:dyDescent="0.3">
      <c r="J373" s="275" t="s">
        <v>296</v>
      </c>
      <c r="K373" s="258" t="s">
        <v>300</v>
      </c>
    </row>
    <row r="374" spans="10:11" ht="15.6" x14ac:dyDescent="0.3">
      <c r="J374" s="275" t="s">
        <v>296</v>
      </c>
      <c r="K374" s="258" t="s">
        <v>301</v>
      </c>
    </row>
    <row r="375" spans="10:11" ht="15.6" x14ac:dyDescent="0.3">
      <c r="J375" s="275" t="s">
        <v>296</v>
      </c>
      <c r="K375" s="258" t="s">
        <v>302</v>
      </c>
    </row>
    <row r="376" spans="10:11" ht="15.6" x14ac:dyDescent="0.3">
      <c r="J376" s="275" t="s">
        <v>296</v>
      </c>
      <c r="K376" s="258" t="s">
        <v>303</v>
      </c>
    </row>
    <row r="377" spans="10:11" ht="15.6" x14ac:dyDescent="0.3">
      <c r="J377" s="275" t="s">
        <v>296</v>
      </c>
      <c r="K377" s="258" t="s">
        <v>304</v>
      </c>
    </row>
    <row r="378" spans="10:11" ht="15.6" x14ac:dyDescent="0.3">
      <c r="J378" s="275" t="s">
        <v>296</v>
      </c>
      <c r="K378" s="258" t="s">
        <v>305</v>
      </c>
    </row>
    <row r="379" spans="10:11" ht="15.6" x14ac:dyDescent="0.3">
      <c r="J379" s="275" t="s">
        <v>296</v>
      </c>
      <c r="K379" s="258" t="s">
        <v>306</v>
      </c>
    </row>
    <row r="380" spans="10:11" ht="15.6" x14ac:dyDescent="0.3">
      <c r="J380" s="275" t="s">
        <v>296</v>
      </c>
      <c r="K380" s="258" t="s">
        <v>693</v>
      </c>
    </row>
    <row r="381" spans="10:11" ht="15.6" x14ac:dyDescent="0.3">
      <c r="J381" s="275" t="s">
        <v>296</v>
      </c>
      <c r="K381" s="258" t="s">
        <v>694</v>
      </c>
    </row>
    <row r="382" spans="10:11" ht="15.6" x14ac:dyDescent="0.3">
      <c r="J382" s="275" t="s">
        <v>296</v>
      </c>
      <c r="K382" s="258" t="s">
        <v>695</v>
      </c>
    </row>
    <row r="383" spans="10:11" ht="15.6" x14ac:dyDescent="0.3">
      <c r="J383" s="275" t="s">
        <v>296</v>
      </c>
      <c r="K383" s="258" t="s">
        <v>696</v>
      </c>
    </row>
    <row r="384" spans="10:11" ht="15.6" x14ac:dyDescent="0.3">
      <c r="J384" s="275" t="s">
        <v>320</v>
      </c>
      <c r="K384" s="258" t="s">
        <v>324</v>
      </c>
    </row>
    <row r="385" spans="10:11" ht="15.6" x14ac:dyDescent="0.3">
      <c r="J385" s="275" t="s">
        <v>320</v>
      </c>
      <c r="K385" s="258" t="s">
        <v>325</v>
      </c>
    </row>
    <row r="386" spans="10:11" ht="15.6" x14ac:dyDescent="0.3">
      <c r="J386" s="275" t="s">
        <v>320</v>
      </c>
      <c r="K386" s="258" t="s">
        <v>321</v>
      </c>
    </row>
    <row r="387" spans="10:11" ht="15.6" x14ac:dyDescent="0.3">
      <c r="J387" s="275" t="s">
        <v>320</v>
      </c>
      <c r="K387" s="258" t="s">
        <v>322</v>
      </c>
    </row>
    <row r="388" spans="10:11" ht="15.6" x14ac:dyDescent="0.3">
      <c r="J388" s="275" t="s">
        <v>320</v>
      </c>
      <c r="K388" s="258" t="s">
        <v>323</v>
      </c>
    </row>
    <row r="389" spans="10:11" ht="15.6" x14ac:dyDescent="0.3">
      <c r="J389" s="275" t="s">
        <v>320</v>
      </c>
      <c r="K389" s="258" t="s">
        <v>697</v>
      </c>
    </row>
    <row r="390" spans="10:11" ht="15.6" x14ac:dyDescent="0.3">
      <c r="J390" s="275" t="s">
        <v>312</v>
      </c>
      <c r="K390" s="258" t="s">
        <v>141</v>
      </c>
    </row>
    <row r="391" spans="10:11" ht="15.6" x14ac:dyDescent="0.3">
      <c r="J391" s="275" t="s">
        <v>312</v>
      </c>
      <c r="K391" s="258" t="s">
        <v>313</v>
      </c>
    </row>
    <row r="392" spans="10:11" ht="15.6" x14ac:dyDescent="0.3">
      <c r="J392" s="275" t="s">
        <v>314</v>
      </c>
      <c r="K392" s="258" t="s">
        <v>315</v>
      </c>
    </row>
    <row r="393" spans="10:11" ht="15.6" x14ac:dyDescent="0.3">
      <c r="J393" s="275" t="s">
        <v>314</v>
      </c>
      <c r="K393" s="258" t="s">
        <v>316</v>
      </c>
    </row>
    <row r="394" spans="10:11" ht="15.6" x14ac:dyDescent="0.3">
      <c r="J394" s="275" t="s">
        <v>314</v>
      </c>
      <c r="K394" s="258" t="s">
        <v>317</v>
      </c>
    </row>
    <row r="395" spans="10:11" ht="15.6" x14ac:dyDescent="0.3">
      <c r="J395" s="275" t="s">
        <v>314</v>
      </c>
      <c r="K395" s="258" t="s">
        <v>318</v>
      </c>
    </row>
    <row r="396" spans="10:11" ht="15.6" x14ac:dyDescent="0.3">
      <c r="J396" s="275" t="s">
        <v>314</v>
      </c>
      <c r="K396" s="258" t="s">
        <v>319</v>
      </c>
    </row>
    <row r="397" spans="10:11" ht="15.6" x14ac:dyDescent="0.3">
      <c r="J397" s="275" t="s">
        <v>326</v>
      </c>
      <c r="K397" s="258" t="s">
        <v>327</v>
      </c>
    </row>
    <row r="398" spans="10:11" ht="15.6" x14ac:dyDescent="0.3">
      <c r="J398" s="275" t="s">
        <v>392</v>
      </c>
      <c r="K398" s="258" t="s">
        <v>393</v>
      </c>
    </row>
    <row r="399" spans="10:11" ht="15.6" x14ac:dyDescent="0.3">
      <c r="J399" s="275" t="s">
        <v>392</v>
      </c>
      <c r="K399" s="258" t="s">
        <v>394</v>
      </c>
    </row>
    <row r="400" spans="10:11" ht="15.6" x14ac:dyDescent="0.3">
      <c r="J400" s="275" t="s">
        <v>392</v>
      </c>
      <c r="K400" s="258" t="s">
        <v>395</v>
      </c>
    </row>
    <row r="401" spans="10:11" ht="15.6" x14ac:dyDescent="0.3">
      <c r="J401" s="275" t="s">
        <v>55</v>
      </c>
      <c r="K401" s="258" t="s">
        <v>698</v>
      </c>
    </row>
    <row r="402" spans="10:11" ht="15.6" x14ac:dyDescent="0.3">
      <c r="J402" s="275" t="s">
        <v>55</v>
      </c>
      <c r="K402" s="258" t="s">
        <v>385</v>
      </c>
    </row>
    <row r="403" spans="10:11" ht="15.6" x14ac:dyDescent="0.3">
      <c r="J403" s="275" t="s">
        <v>55</v>
      </c>
      <c r="K403" s="258" t="s">
        <v>386</v>
      </c>
    </row>
    <row r="404" spans="10:11" ht="15.6" x14ac:dyDescent="0.3">
      <c r="J404" s="275" t="s">
        <v>55</v>
      </c>
      <c r="K404" s="258" t="s">
        <v>387</v>
      </c>
    </row>
    <row r="405" spans="10:11" ht="15.6" x14ac:dyDescent="0.3">
      <c r="J405" s="275" t="s">
        <v>55</v>
      </c>
      <c r="K405" s="258" t="s">
        <v>388</v>
      </c>
    </row>
    <row r="406" spans="10:11" ht="15.6" x14ac:dyDescent="0.3">
      <c r="J406" s="275" t="s">
        <v>389</v>
      </c>
      <c r="K406" s="258" t="s">
        <v>390</v>
      </c>
    </row>
    <row r="407" spans="10:11" ht="15.6" x14ac:dyDescent="0.3">
      <c r="J407" s="275" t="s">
        <v>396</v>
      </c>
      <c r="K407" s="258" t="s">
        <v>699</v>
      </c>
    </row>
    <row r="408" spans="10:11" ht="15.6" x14ac:dyDescent="0.3">
      <c r="J408" s="275" t="s">
        <v>396</v>
      </c>
      <c r="K408" s="258" t="s">
        <v>397</v>
      </c>
    </row>
    <row r="409" spans="10:11" ht="15.6" x14ac:dyDescent="0.3">
      <c r="J409" s="275" t="s">
        <v>396</v>
      </c>
      <c r="K409" s="258" t="s">
        <v>398</v>
      </c>
    </row>
    <row r="410" spans="10:11" ht="15.6" x14ac:dyDescent="0.3">
      <c r="J410" s="275" t="s">
        <v>396</v>
      </c>
      <c r="K410" s="258" t="s">
        <v>399</v>
      </c>
    </row>
    <row r="411" spans="10:11" ht="15.6" x14ac:dyDescent="0.3">
      <c r="J411" s="275" t="s">
        <v>396</v>
      </c>
      <c r="K411" s="258" t="s">
        <v>400</v>
      </c>
    </row>
    <row r="412" spans="10:11" ht="15.6" x14ac:dyDescent="0.3">
      <c r="J412" s="275" t="s">
        <v>396</v>
      </c>
      <c r="K412" s="258" t="s">
        <v>1598</v>
      </c>
    </row>
    <row r="413" spans="10:11" ht="15.6" x14ac:dyDescent="0.3">
      <c r="J413" s="275" t="s">
        <v>396</v>
      </c>
      <c r="K413" s="258" t="s">
        <v>401</v>
      </c>
    </row>
    <row r="414" spans="10:11" ht="15.6" x14ac:dyDescent="0.3">
      <c r="J414" s="275" t="s">
        <v>396</v>
      </c>
      <c r="K414" s="258" t="s">
        <v>402</v>
      </c>
    </row>
    <row r="415" spans="10:11" ht="15.6" x14ac:dyDescent="0.3">
      <c r="J415" s="275" t="s">
        <v>625</v>
      </c>
      <c r="K415" s="258" t="s">
        <v>403</v>
      </c>
    </row>
    <row r="416" spans="10:11" ht="15.6" x14ac:dyDescent="0.3">
      <c r="J416" s="275" t="s">
        <v>625</v>
      </c>
      <c r="K416" s="258" t="s">
        <v>404</v>
      </c>
    </row>
    <row r="417" spans="10:11" ht="15.6" x14ac:dyDescent="0.3">
      <c r="J417" s="275" t="s">
        <v>625</v>
      </c>
      <c r="K417" s="258" t="s">
        <v>405</v>
      </c>
    </row>
    <row r="418" spans="10:11" ht="15.6" x14ac:dyDescent="0.3">
      <c r="J418" s="275" t="s">
        <v>406</v>
      </c>
      <c r="K418" s="258" t="s">
        <v>407</v>
      </c>
    </row>
    <row r="419" spans="10:11" ht="15.6" x14ac:dyDescent="0.3">
      <c r="J419" s="275" t="s">
        <v>406</v>
      </c>
      <c r="K419" s="258" t="s">
        <v>408</v>
      </c>
    </row>
    <row r="420" spans="10:11" ht="15.6" x14ac:dyDescent="0.3">
      <c r="J420" s="275" t="s">
        <v>121</v>
      </c>
      <c r="K420" s="258" t="s">
        <v>122</v>
      </c>
    </row>
    <row r="421" spans="10:11" ht="15.6" x14ac:dyDescent="0.3">
      <c r="J421" s="275" t="s">
        <v>121</v>
      </c>
      <c r="K421" s="258" t="s">
        <v>123</v>
      </c>
    </row>
    <row r="422" spans="10:11" ht="15.6" x14ac:dyDescent="0.3">
      <c r="J422" s="275" t="s">
        <v>121</v>
      </c>
      <c r="K422" s="258" t="s">
        <v>124</v>
      </c>
    </row>
    <row r="423" spans="10:11" ht="15.6" x14ac:dyDescent="0.3">
      <c r="J423" s="275" t="s">
        <v>121</v>
      </c>
      <c r="K423" s="258" t="s">
        <v>125</v>
      </c>
    </row>
    <row r="424" spans="10:11" ht="15.6" x14ac:dyDescent="0.3">
      <c r="J424" s="275" t="s">
        <v>121</v>
      </c>
      <c r="K424" s="258" t="s">
        <v>700</v>
      </c>
    </row>
    <row r="425" spans="10:11" ht="15.6" x14ac:dyDescent="0.3">
      <c r="J425" s="275" t="s">
        <v>121</v>
      </c>
      <c r="K425" s="258" t="s">
        <v>131</v>
      </c>
    </row>
    <row r="426" spans="10:11" ht="15.6" x14ac:dyDescent="0.3">
      <c r="J426" s="275" t="s">
        <v>121</v>
      </c>
      <c r="K426" s="258" t="s">
        <v>130</v>
      </c>
    </row>
    <row r="427" spans="10:11" ht="15.6" x14ac:dyDescent="0.3">
      <c r="J427" s="275" t="s">
        <v>121</v>
      </c>
      <c r="K427" s="258" t="s">
        <v>127</v>
      </c>
    </row>
    <row r="428" spans="10:11" ht="15.6" x14ac:dyDescent="0.3">
      <c r="J428" s="275" t="s">
        <v>121</v>
      </c>
      <c r="K428" s="258" t="s">
        <v>128</v>
      </c>
    </row>
    <row r="429" spans="10:11" ht="15.6" x14ac:dyDescent="0.3">
      <c r="J429" s="275" t="s">
        <v>121</v>
      </c>
      <c r="K429" s="258" t="s">
        <v>701</v>
      </c>
    </row>
    <row r="430" spans="10:11" ht="15.6" x14ac:dyDescent="0.3">
      <c r="J430" s="275" t="s">
        <v>121</v>
      </c>
      <c r="K430" s="258" t="s">
        <v>132</v>
      </c>
    </row>
    <row r="431" spans="10:11" ht="15.6" x14ac:dyDescent="0.3">
      <c r="J431" s="275" t="s">
        <v>121</v>
      </c>
      <c r="K431" s="258" t="s">
        <v>134</v>
      </c>
    </row>
    <row r="432" spans="10:11" ht="15.6" x14ac:dyDescent="0.3">
      <c r="J432" s="275" t="s">
        <v>121</v>
      </c>
      <c r="K432" s="258" t="s">
        <v>135</v>
      </c>
    </row>
    <row r="433" spans="10:11" ht="15.6" x14ac:dyDescent="0.3">
      <c r="J433" s="275" t="s">
        <v>121</v>
      </c>
      <c r="K433" s="258" t="s">
        <v>702</v>
      </c>
    </row>
    <row r="434" spans="10:11" ht="15.6" x14ac:dyDescent="0.3">
      <c r="J434" s="275" t="s">
        <v>121</v>
      </c>
      <c r="K434" s="258" t="s">
        <v>136</v>
      </c>
    </row>
    <row r="435" spans="10:11" ht="15.6" x14ac:dyDescent="0.3">
      <c r="J435" s="275" t="s">
        <v>121</v>
      </c>
      <c r="K435" s="258" t="s">
        <v>137</v>
      </c>
    </row>
    <row r="436" spans="10:11" ht="15.6" x14ac:dyDescent="0.3">
      <c r="J436" s="275" t="s">
        <v>121</v>
      </c>
      <c r="K436" s="258" t="s">
        <v>138</v>
      </c>
    </row>
    <row r="437" spans="10:11" ht="15.6" x14ac:dyDescent="0.3">
      <c r="J437" s="275" t="s">
        <v>121</v>
      </c>
      <c r="K437" s="258" t="s">
        <v>703</v>
      </c>
    </row>
    <row r="438" spans="10:11" ht="15.6" x14ac:dyDescent="0.3">
      <c r="J438" s="275" t="s">
        <v>121</v>
      </c>
      <c r="K438" s="258" t="s">
        <v>139</v>
      </c>
    </row>
    <row r="439" spans="10:11" ht="15.6" x14ac:dyDescent="0.3">
      <c r="J439" s="275" t="s">
        <v>121</v>
      </c>
      <c r="K439" s="258" t="s">
        <v>140</v>
      </c>
    </row>
    <row r="440" spans="10:11" ht="15.6" x14ac:dyDescent="0.3">
      <c r="J440" s="275" t="s">
        <v>121</v>
      </c>
      <c r="K440" s="258" t="s">
        <v>133</v>
      </c>
    </row>
    <row r="441" spans="10:11" ht="15.6" x14ac:dyDescent="0.3">
      <c r="J441" s="275" t="s">
        <v>121</v>
      </c>
      <c r="K441" s="258" t="s">
        <v>126</v>
      </c>
    </row>
    <row r="442" spans="10:11" ht="15.6" x14ac:dyDescent="0.3">
      <c r="J442" s="275" t="s">
        <v>121</v>
      </c>
      <c r="K442" s="258" t="s">
        <v>129</v>
      </c>
    </row>
    <row r="443" spans="10:11" ht="15.6" x14ac:dyDescent="0.3">
      <c r="J443" s="275" t="s">
        <v>626</v>
      </c>
      <c r="K443" s="258" t="s">
        <v>60</v>
      </c>
    </row>
    <row r="444" spans="10:11" ht="15.6" x14ac:dyDescent="0.3">
      <c r="J444" s="275" t="s">
        <v>626</v>
      </c>
      <c r="K444" s="258" t="s">
        <v>704</v>
      </c>
    </row>
    <row r="445" spans="10:11" ht="15.6" x14ac:dyDescent="0.3">
      <c r="J445" s="275" t="s">
        <v>626</v>
      </c>
      <c r="K445" s="258" t="s">
        <v>705</v>
      </c>
    </row>
    <row r="446" spans="10:11" ht="15.6" x14ac:dyDescent="0.3">
      <c r="J446" s="275" t="s">
        <v>626</v>
      </c>
      <c r="K446" s="258" t="s">
        <v>706</v>
      </c>
    </row>
    <row r="447" spans="10:11" ht="15.6" x14ac:dyDescent="0.3">
      <c r="J447" s="275" t="s">
        <v>53</v>
      </c>
      <c r="K447" s="258" t="s">
        <v>57</v>
      </c>
    </row>
    <row r="448" spans="10:11" ht="15.6" x14ac:dyDescent="0.3">
      <c r="J448" s="275" t="s">
        <v>53</v>
      </c>
      <c r="K448" s="258" t="s">
        <v>56</v>
      </c>
    </row>
    <row r="449" spans="10:11" ht="15.6" x14ac:dyDescent="0.3">
      <c r="J449" s="275" t="s">
        <v>53</v>
      </c>
      <c r="K449" s="258" t="s">
        <v>54</v>
      </c>
    </row>
    <row r="450" spans="10:11" ht="15.6" x14ac:dyDescent="0.3">
      <c r="J450" s="275" t="s">
        <v>627</v>
      </c>
      <c r="K450" s="258" t="s">
        <v>328</v>
      </c>
    </row>
    <row r="451" spans="10:11" ht="15.6" x14ac:dyDescent="0.3">
      <c r="J451" s="275" t="s">
        <v>628</v>
      </c>
      <c r="K451" s="258" t="s">
        <v>707</v>
      </c>
    </row>
    <row r="452" spans="10:11" ht="15.6" x14ac:dyDescent="0.3">
      <c r="J452" s="275" t="s">
        <v>628</v>
      </c>
      <c r="K452" s="258" t="s">
        <v>66</v>
      </c>
    </row>
    <row r="453" spans="10:11" ht="15.6" x14ac:dyDescent="0.3">
      <c r="J453" s="275" t="s">
        <v>58</v>
      </c>
      <c r="K453" s="258" t="s">
        <v>59</v>
      </c>
    </row>
    <row r="454" spans="10:11" ht="15.6" x14ac:dyDescent="0.3">
      <c r="J454" s="275" t="s">
        <v>58</v>
      </c>
      <c r="K454" s="258" t="s">
        <v>60</v>
      </c>
    </row>
    <row r="455" spans="10:11" ht="15.6" x14ac:dyDescent="0.3">
      <c r="J455" s="275" t="s">
        <v>58</v>
      </c>
      <c r="K455" s="258" t="s">
        <v>62</v>
      </c>
    </row>
    <row r="456" spans="10:11" ht="15.6" x14ac:dyDescent="0.3">
      <c r="J456" s="275" t="s">
        <v>58</v>
      </c>
      <c r="K456" s="258" t="s">
        <v>63</v>
      </c>
    </row>
    <row r="457" spans="10:11" ht="15.6" x14ac:dyDescent="0.3">
      <c r="J457" s="275" t="s">
        <v>58</v>
      </c>
      <c r="K457" s="258" t="s">
        <v>64</v>
      </c>
    </row>
    <row r="458" spans="10:11" ht="15.6" x14ac:dyDescent="0.3">
      <c r="J458" s="275" t="s">
        <v>58</v>
      </c>
      <c r="K458" s="258" t="s">
        <v>65</v>
      </c>
    </row>
    <row r="459" spans="10:11" ht="15.6" x14ac:dyDescent="0.3">
      <c r="J459" s="275" t="s">
        <v>58</v>
      </c>
      <c r="K459" s="258" t="s">
        <v>61</v>
      </c>
    </row>
    <row r="460" spans="10:11" ht="15.6" x14ac:dyDescent="0.3">
      <c r="J460" s="275" t="s">
        <v>629</v>
      </c>
      <c r="K460" s="258" t="s">
        <v>424</v>
      </c>
    </row>
    <row r="461" spans="10:11" ht="15.6" x14ac:dyDescent="0.3">
      <c r="J461" s="275" t="s">
        <v>629</v>
      </c>
      <c r="K461" s="258" t="s">
        <v>425</v>
      </c>
    </row>
    <row r="462" spans="10:11" ht="15.6" x14ac:dyDescent="0.3">
      <c r="J462" s="275" t="s">
        <v>629</v>
      </c>
      <c r="K462" s="258" t="s">
        <v>708</v>
      </c>
    </row>
    <row r="463" spans="10:11" ht="15.6" x14ac:dyDescent="0.3">
      <c r="J463" s="275" t="s">
        <v>629</v>
      </c>
      <c r="K463" s="258" t="s">
        <v>426</v>
      </c>
    </row>
    <row r="464" spans="10:11" ht="15.6" x14ac:dyDescent="0.3">
      <c r="J464" s="275" t="s">
        <v>427</v>
      </c>
      <c r="K464" s="258" t="s">
        <v>428</v>
      </c>
    </row>
    <row r="465" spans="10:11" ht="15.6" x14ac:dyDescent="0.3">
      <c r="J465" s="275" t="s">
        <v>630</v>
      </c>
      <c r="K465" s="258" t="s">
        <v>709</v>
      </c>
    </row>
    <row r="466" spans="10:11" ht="15.6" x14ac:dyDescent="0.3">
      <c r="J466" s="275" t="s">
        <v>630</v>
      </c>
      <c r="K466" s="258" t="s">
        <v>710</v>
      </c>
    </row>
    <row r="467" spans="10:11" ht="15.6" x14ac:dyDescent="0.3">
      <c r="J467" s="275" t="s">
        <v>630</v>
      </c>
      <c r="K467" s="258" t="s">
        <v>711</v>
      </c>
    </row>
    <row r="468" spans="10:11" ht="15.6" x14ac:dyDescent="0.3">
      <c r="J468" s="275" t="s">
        <v>630</v>
      </c>
      <c r="K468" s="258" t="s">
        <v>712</v>
      </c>
    </row>
    <row r="469" spans="10:11" ht="15.6" x14ac:dyDescent="0.3">
      <c r="J469" s="275" t="s">
        <v>630</v>
      </c>
      <c r="K469" s="258" t="s">
        <v>713</v>
      </c>
    </row>
    <row r="470" spans="10:11" ht="15.6" x14ac:dyDescent="0.3">
      <c r="J470" s="275" t="s">
        <v>631</v>
      </c>
      <c r="K470" s="258" t="s">
        <v>631</v>
      </c>
    </row>
    <row r="471" spans="10:11" ht="15.6" x14ac:dyDescent="0.3">
      <c r="J471" s="275"/>
      <c r="K471" s="258"/>
    </row>
    <row r="472" spans="10:11" ht="15.6" x14ac:dyDescent="0.3">
      <c r="J472" s="275"/>
      <c r="K472" s="258"/>
    </row>
    <row r="473" spans="10:11" ht="15.6" x14ac:dyDescent="0.3">
      <c r="J473" s="275"/>
      <c r="K473" s="258"/>
    </row>
    <row r="474" spans="10:11" ht="15.6" x14ac:dyDescent="0.3">
      <c r="J474" s="275"/>
      <c r="K474" s="258"/>
    </row>
    <row r="475" spans="10:11" ht="15.6" x14ac:dyDescent="0.3">
      <c r="J475" s="275"/>
      <c r="K475" s="258"/>
    </row>
    <row r="476" spans="10:11" ht="15.6" x14ac:dyDescent="0.3">
      <c r="J476" s="275"/>
      <c r="K476" s="258"/>
    </row>
    <row r="477" spans="10:11" ht="15.6" x14ac:dyDescent="0.3">
      <c r="J477" s="275"/>
      <c r="K477" s="258"/>
    </row>
    <row r="478" spans="10:11" ht="15.6" x14ac:dyDescent="0.3">
      <c r="J478" s="275"/>
      <c r="K478" s="258"/>
    </row>
    <row r="479" spans="10:11" ht="15.6" x14ac:dyDescent="0.3">
      <c r="J479" s="275"/>
      <c r="K479" s="258"/>
    </row>
    <row r="480" spans="10:11" ht="15.6" x14ac:dyDescent="0.3">
      <c r="J480" s="275"/>
      <c r="K480" s="258"/>
    </row>
    <row r="481" spans="10:11" ht="15.6" x14ac:dyDescent="0.3">
      <c r="J481" s="275"/>
      <c r="K481" s="258"/>
    </row>
    <row r="482" spans="10:11" ht="15.6" x14ac:dyDescent="0.3">
      <c r="J482" s="275"/>
      <c r="K482" s="258"/>
    </row>
    <row r="483" spans="10:11" ht="15.6" x14ac:dyDescent="0.3">
      <c r="J483" s="275"/>
      <c r="K483" s="258"/>
    </row>
    <row r="484" spans="10:11" ht="15.6" x14ac:dyDescent="0.3">
      <c r="J484" s="275"/>
      <c r="K484" s="258"/>
    </row>
    <row r="485" spans="10:11" ht="15.6" x14ac:dyDescent="0.3">
      <c r="J485" s="275"/>
      <c r="K485" s="258"/>
    </row>
    <row r="486" spans="10:11" ht="15.6" x14ac:dyDescent="0.3">
      <c r="J486" s="275"/>
      <c r="K486" s="258"/>
    </row>
    <row r="487" spans="10:11" ht="15.6" x14ac:dyDescent="0.3">
      <c r="J487" s="275"/>
      <c r="K487" s="258"/>
    </row>
    <row r="488" spans="10:11" ht="15.6" x14ac:dyDescent="0.3">
      <c r="J488" s="275"/>
      <c r="K488" s="258"/>
    </row>
    <row r="489" spans="10:11" ht="15.6" x14ac:dyDescent="0.3">
      <c r="J489" s="275"/>
      <c r="K489" s="258"/>
    </row>
    <row r="490" spans="10:11" ht="15.6" x14ac:dyDescent="0.3">
      <c r="J490" s="275"/>
      <c r="K490" s="258"/>
    </row>
    <row r="491" spans="10:11" ht="15.6" x14ac:dyDescent="0.3">
      <c r="J491" s="275"/>
      <c r="K491" s="258"/>
    </row>
    <row r="492" spans="10:11" ht="15.6" x14ac:dyDescent="0.3">
      <c r="J492" s="275"/>
      <c r="K492" s="258"/>
    </row>
    <row r="493" spans="10:11" ht="15.6" x14ac:dyDescent="0.3">
      <c r="J493" s="275"/>
      <c r="K493" s="258"/>
    </row>
    <row r="494" spans="10:11" ht="15.6" x14ac:dyDescent="0.3">
      <c r="J494" s="275"/>
      <c r="K494" s="258"/>
    </row>
    <row r="495" spans="10:11" ht="15.6" x14ac:dyDescent="0.3">
      <c r="J495" s="275"/>
      <c r="K495" s="258"/>
    </row>
    <row r="496" spans="10:11" ht="15.6" x14ac:dyDescent="0.3">
      <c r="J496" s="275"/>
      <c r="K496" s="258"/>
    </row>
    <row r="497" spans="10:11" ht="15.6" x14ac:dyDescent="0.3">
      <c r="J497" s="275"/>
      <c r="K497" s="258"/>
    </row>
    <row r="498" spans="10:11" ht="15.6" x14ac:dyDescent="0.3">
      <c r="J498" s="275"/>
      <c r="K498" s="258"/>
    </row>
    <row r="499" spans="10:11" ht="15.6" x14ac:dyDescent="0.3">
      <c r="J499" s="275"/>
      <c r="K499" s="258"/>
    </row>
    <row r="500" spans="10:11" ht="15.6" x14ac:dyDescent="0.3">
      <c r="J500" s="275"/>
      <c r="K500" s="258"/>
    </row>
    <row r="501" spans="10:11" ht="15.6" x14ac:dyDescent="0.3">
      <c r="J501" s="275"/>
      <c r="K501" s="258"/>
    </row>
    <row r="502" spans="10:11" ht="15.6" x14ac:dyDescent="0.3">
      <c r="J502" s="275"/>
      <c r="K502" s="258"/>
    </row>
    <row r="503" spans="10:11" ht="15.6" x14ac:dyDescent="0.3">
      <c r="J503" s="275"/>
      <c r="K503" s="258"/>
    </row>
    <row r="504" spans="10:11" ht="15.6" x14ac:dyDescent="0.3">
      <c r="J504" s="275"/>
      <c r="K504" s="258"/>
    </row>
    <row r="505" spans="10:11" ht="15.6" x14ac:dyDescent="0.3">
      <c r="J505" s="275"/>
      <c r="K505" s="258"/>
    </row>
    <row r="506" spans="10:11" ht="15.6" x14ac:dyDescent="0.3">
      <c r="J506" s="275"/>
      <c r="K506" s="258"/>
    </row>
    <row r="507" spans="10:11" ht="15.6" x14ac:dyDescent="0.3">
      <c r="J507" s="275"/>
      <c r="K507" s="258"/>
    </row>
    <row r="508" spans="10:11" ht="15.6" x14ac:dyDescent="0.3">
      <c r="J508" s="275"/>
      <c r="K508" s="258"/>
    </row>
    <row r="509" spans="10:11" ht="15.6" x14ac:dyDescent="0.3">
      <c r="J509" s="275"/>
      <c r="K509" s="258"/>
    </row>
    <row r="510" spans="10:11" ht="15.6" x14ac:dyDescent="0.3">
      <c r="J510" s="275"/>
      <c r="K510" s="258"/>
    </row>
    <row r="511" spans="10:11" ht="15.6" x14ac:dyDescent="0.3">
      <c r="J511" s="275"/>
      <c r="K511" s="258"/>
    </row>
    <row r="512" spans="10:11" ht="15.6" x14ac:dyDescent="0.3">
      <c r="J512" s="275"/>
      <c r="K512" s="258"/>
    </row>
    <row r="513" spans="10:11" ht="15.6" x14ac:dyDescent="0.3">
      <c r="J513" s="275"/>
      <c r="K513" s="258"/>
    </row>
    <row r="514" spans="10:11" ht="15.6" x14ac:dyDescent="0.3">
      <c r="J514" s="275"/>
      <c r="K514" s="258"/>
    </row>
    <row r="515" spans="10:11" ht="15.6" x14ac:dyDescent="0.3">
      <c r="J515" s="275"/>
      <c r="K515" s="258"/>
    </row>
    <row r="516" spans="10:11" ht="15.6" x14ac:dyDescent="0.3">
      <c r="J516" s="275"/>
      <c r="K516" s="258"/>
    </row>
    <row r="517" spans="10:11" ht="15.6" x14ac:dyDescent="0.3">
      <c r="J517" s="275"/>
      <c r="K517" s="258"/>
    </row>
    <row r="518" spans="10:11" ht="15.6" x14ac:dyDescent="0.3">
      <c r="J518" s="275"/>
      <c r="K518" s="258"/>
    </row>
    <row r="519" spans="10:11" ht="15.6" x14ac:dyDescent="0.3">
      <c r="J519" s="275"/>
      <c r="K519" s="258"/>
    </row>
    <row r="520" spans="10:11" ht="15.6" x14ac:dyDescent="0.3">
      <c r="J520" s="275"/>
      <c r="K520" s="258"/>
    </row>
    <row r="521" spans="10:11" ht="15.6" x14ac:dyDescent="0.3">
      <c r="J521" s="275"/>
      <c r="K521" s="258"/>
    </row>
    <row r="522" spans="10:11" ht="15.6" x14ac:dyDescent="0.3">
      <c r="J522" s="275"/>
      <c r="K522" s="258"/>
    </row>
    <row r="523" spans="10:11" ht="15.6" x14ac:dyDescent="0.3">
      <c r="J523" s="275"/>
      <c r="K523" s="258"/>
    </row>
    <row r="524" spans="10:11" ht="15.6" x14ac:dyDescent="0.3">
      <c r="J524" s="275"/>
      <c r="K524" s="258"/>
    </row>
    <row r="525" spans="10:11" ht="15.6" x14ac:dyDescent="0.3">
      <c r="J525" s="275"/>
      <c r="K525" s="258"/>
    </row>
    <row r="526" spans="10:11" ht="15.6" x14ac:dyDescent="0.3">
      <c r="J526" s="275"/>
      <c r="K526" s="258"/>
    </row>
    <row r="527" spans="10:11" ht="15.6" x14ac:dyDescent="0.3">
      <c r="J527" s="275"/>
      <c r="K527" s="258"/>
    </row>
    <row r="528" spans="10:11" ht="15.6" x14ac:dyDescent="0.3">
      <c r="J528" s="275"/>
      <c r="K528" s="258"/>
    </row>
    <row r="529" spans="10:11" ht="15.6" x14ac:dyDescent="0.3">
      <c r="J529" s="275"/>
      <c r="K529" s="258"/>
    </row>
    <row r="530" spans="10:11" ht="15.6" x14ac:dyDescent="0.3">
      <c r="J530" s="275"/>
      <c r="K530" s="258"/>
    </row>
    <row r="531" spans="10:11" ht="15.6" x14ac:dyDescent="0.3">
      <c r="J531" s="275"/>
      <c r="K531" s="258"/>
    </row>
    <row r="532" spans="10:11" ht="15.6" x14ac:dyDescent="0.3">
      <c r="J532" s="275"/>
      <c r="K532" s="258"/>
    </row>
    <row r="533" spans="10:11" ht="15.6" x14ac:dyDescent="0.3">
      <c r="J533" s="275"/>
      <c r="K533" s="258"/>
    </row>
    <row r="534" spans="10:11" ht="15.6" x14ac:dyDescent="0.3">
      <c r="J534" s="275"/>
      <c r="K534" s="258"/>
    </row>
    <row r="535" spans="10:11" ht="15.6" x14ac:dyDescent="0.3">
      <c r="J535" s="275"/>
      <c r="K535" s="258"/>
    </row>
    <row r="536" spans="10:11" ht="15.6" x14ac:dyDescent="0.3">
      <c r="J536" s="275"/>
      <c r="K536" s="283"/>
    </row>
    <row r="537" spans="10:11" ht="15.6" x14ac:dyDescent="0.3">
      <c r="J537" s="275"/>
      <c r="K537" s="267"/>
    </row>
    <row r="538" spans="10:11" ht="15.6" x14ac:dyDescent="0.3">
      <c r="J538" s="275"/>
      <c r="K538" s="267"/>
    </row>
    <row r="539" spans="10:11" ht="15.6" x14ac:dyDescent="0.3">
      <c r="J539" s="275"/>
      <c r="K539" s="267"/>
    </row>
    <row r="540" spans="10:11" ht="15.6" x14ac:dyDescent="0.3">
      <c r="J540" s="275"/>
      <c r="K540" s="267"/>
    </row>
    <row r="541" spans="10:11" ht="15.6" x14ac:dyDescent="0.3">
      <c r="J541" s="275"/>
      <c r="K541" s="267"/>
    </row>
    <row r="542" spans="10:11" ht="15.6" x14ac:dyDescent="0.3">
      <c r="J542" s="275"/>
      <c r="K542" s="267"/>
    </row>
    <row r="543" spans="10:11" ht="15.6" x14ac:dyDescent="0.3">
      <c r="J543" s="275"/>
      <c r="K543" s="267"/>
    </row>
  </sheetData>
  <sheetProtection algorithmName="SHA-512" hashValue="4oyl/HdxiIXhgVVbLwn34Z9W7N6zLLq3npaE/5mjHoodE3Gk7gVFlaAF5NXWt4vtzNqW3qVxbbntvUhJQHyoWQ==" saltValue="evDX4HxF4WWc/eUl6sA1vA=="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6"/>
  <sheetViews>
    <sheetView zoomScale="85" zoomScaleNormal="85" workbookViewId="0">
      <pane ySplit="1" topLeftCell="A221" activePane="bottomLeft" state="frozen"/>
      <selection pane="bottomLeft" activeCell="F224" sqref="F224"/>
    </sheetView>
  </sheetViews>
  <sheetFormatPr defaultRowHeight="14.4" x14ac:dyDescent="0.3"/>
  <cols>
    <col min="1" max="1" width="0.6640625" style="1292" customWidth="1"/>
    <col min="2" max="2" width="5" style="1480"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20" customFormat="1" ht="15" customHeight="1" x14ac:dyDescent="0.3">
      <c r="A1" s="1292"/>
      <c r="B1" s="1474"/>
      <c r="C1" s="1373" t="s">
        <v>1661</v>
      </c>
      <c r="D1" s="1319"/>
      <c r="E1" s="1374" t="s">
        <v>1654</v>
      </c>
      <c r="F1" s="1534"/>
      <c r="G1" s="1534"/>
      <c r="H1" s="1534"/>
      <c r="I1" s="1534"/>
      <c r="J1" s="1534"/>
      <c r="K1" s="1534"/>
      <c r="L1" s="1534"/>
      <c r="M1" s="1534"/>
      <c r="N1" s="1534"/>
      <c r="O1" s="1534"/>
      <c r="P1" s="1534"/>
      <c r="Q1" s="1534"/>
      <c r="R1" s="1534"/>
      <c r="S1" s="1534"/>
      <c r="T1" s="1534"/>
      <c r="U1" s="1534"/>
      <c r="V1" s="1534"/>
      <c r="W1" s="1534"/>
      <c r="X1" s="1534"/>
      <c r="Y1" s="1534"/>
      <c r="Z1" s="1318"/>
    </row>
    <row r="2" spans="1:26" s="17" customFormat="1" ht="15" customHeight="1" x14ac:dyDescent="0.3">
      <c r="A2" s="1292"/>
      <c r="B2" s="1475"/>
      <c r="C2" s="28"/>
      <c r="D2" s="28"/>
      <c r="E2" s="18" t="s">
        <v>1755</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292"/>
      <c r="B3" s="1475"/>
      <c r="C3" s="1569" t="s">
        <v>1756</v>
      </c>
      <c r="D3" s="1570"/>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292"/>
      <c r="B4" s="1475"/>
      <c r="C4" s="1569"/>
      <c r="D4" s="1570"/>
      <c r="E4" s="11" t="s">
        <v>1812</v>
      </c>
      <c r="F4" s="18"/>
      <c r="G4" s="18"/>
      <c r="H4" s="18"/>
      <c r="I4" s="18"/>
      <c r="J4" s="18"/>
      <c r="K4" s="18"/>
      <c r="L4" s="18"/>
      <c r="M4" s="18"/>
      <c r="N4" s="18"/>
      <c r="O4" s="18"/>
      <c r="P4" s="18"/>
      <c r="Q4" s="18"/>
      <c r="R4" s="18"/>
      <c r="S4" s="18"/>
      <c r="T4" s="18"/>
      <c r="U4" s="18"/>
      <c r="V4" s="18"/>
      <c r="W4" s="18"/>
      <c r="X4" s="18"/>
      <c r="Y4" s="18"/>
      <c r="Z4" s="18"/>
    </row>
    <row r="5" spans="1:26" s="17" customFormat="1" x14ac:dyDescent="0.3">
      <c r="A5" s="1292"/>
      <c r="B5" s="1475"/>
      <c r="C5" s="1569"/>
      <c r="D5" s="1570"/>
      <c r="E5" s="25" t="s">
        <v>1750</v>
      </c>
      <c r="F5" s="18"/>
      <c r="G5" s="18"/>
      <c r="H5" s="18"/>
      <c r="I5" s="18"/>
      <c r="J5" s="18"/>
      <c r="K5" s="18"/>
      <c r="L5" s="18"/>
      <c r="M5" s="18"/>
      <c r="N5" s="18"/>
      <c r="O5" s="18"/>
      <c r="P5" s="18"/>
      <c r="Q5" s="18"/>
      <c r="R5" s="18"/>
      <c r="S5" s="18"/>
      <c r="T5" s="18"/>
      <c r="U5" s="18"/>
      <c r="V5" s="18"/>
      <c r="W5" s="18"/>
      <c r="X5" s="18"/>
      <c r="Y5" s="18"/>
      <c r="Z5" s="18"/>
    </row>
    <row r="6" spans="1:26" s="17" customFormat="1" x14ac:dyDescent="0.3">
      <c r="A6" s="1292"/>
      <c r="B6" s="1475"/>
      <c r="C6" s="1534"/>
      <c r="D6" s="1570"/>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5">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476">
        <v>0.125</v>
      </c>
      <c r="C8" s="1555" t="s">
        <v>756</v>
      </c>
      <c r="D8" s="1556"/>
      <c r="E8" s="1557"/>
      <c r="F8" s="74"/>
      <c r="G8" s="10"/>
      <c r="H8" s="10"/>
      <c r="I8" s="10"/>
      <c r="J8" s="10"/>
      <c r="K8" s="10"/>
      <c r="L8" s="18"/>
      <c r="M8" s="18"/>
      <c r="N8" s="18"/>
      <c r="O8" s="18"/>
      <c r="P8" s="18"/>
      <c r="Q8" s="18"/>
      <c r="R8" s="18"/>
      <c r="S8" s="18"/>
      <c r="T8" s="18"/>
      <c r="U8" s="18"/>
      <c r="V8" s="18"/>
      <c r="W8" s="18"/>
      <c r="X8" s="18"/>
      <c r="Y8" s="18"/>
      <c r="Z8" s="18"/>
    </row>
    <row r="9" spans="1:26" x14ac:dyDescent="0.3">
      <c r="B9" s="1477">
        <v>1</v>
      </c>
      <c r="C9" s="1286" t="s">
        <v>1864</v>
      </c>
      <c r="D9" s="71" t="s">
        <v>1948</v>
      </c>
      <c r="E9" s="1481"/>
      <c r="F9" s="74"/>
      <c r="G9" s="10"/>
      <c r="H9" s="10"/>
      <c r="I9" s="10"/>
      <c r="J9" s="10"/>
      <c r="K9" s="10"/>
      <c r="L9" s="18"/>
      <c r="M9" s="18"/>
      <c r="N9" s="18"/>
      <c r="O9" s="18"/>
      <c r="P9" s="18"/>
      <c r="Q9" s="18"/>
      <c r="R9" s="18"/>
      <c r="S9" s="18"/>
      <c r="T9" s="18"/>
      <c r="U9" s="18"/>
      <c r="V9" s="18"/>
      <c r="W9" s="18"/>
      <c r="X9" s="18"/>
      <c r="Y9" s="18"/>
      <c r="Z9" s="18"/>
    </row>
    <row r="10" spans="1:26" x14ac:dyDescent="0.3">
      <c r="B10" s="1477">
        <v>2</v>
      </c>
      <c r="C10" s="1286" t="s">
        <v>752</v>
      </c>
      <c r="D10" s="71" t="s">
        <v>100</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3">
      <c r="B11" s="1477">
        <v>3</v>
      </c>
      <c r="C11" s="1287" t="s">
        <v>753</v>
      </c>
      <c r="D11" s="71" t="s">
        <v>101</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3">
      <c r="B12" s="1477">
        <v>4</v>
      </c>
      <c r="C12" s="1287" t="s">
        <v>810</v>
      </c>
      <c r="D12" s="71">
        <v>1987</v>
      </c>
      <c r="E12" s="1481" t="s">
        <v>1759</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3">
      <c r="A13" s="1292"/>
      <c r="B13" s="1499" t="s">
        <v>1913</v>
      </c>
      <c r="C13" s="1495" t="s">
        <v>1904</v>
      </c>
      <c r="D13" s="71" t="s">
        <v>1905</v>
      </c>
      <c r="E13" s="1496" t="s">
        <v>1914</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3.2" x14ac:dyDescent="0.3">
      <c r="B14" s="1477">
        <v>5</v>
      </c>
      <c r="C14" s="1287" t="s">
        <v>757</v>
      </c>
      <c r="D14" s="73" t="s">
        <v>446</v>
      </c>
      <c r="E14" s="1482" t="s">
        <v>1762</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3">
      <c r="A15" s="1292"/>
      <c r="B15" s="1564">
        <v>6</v>
      </c>
      <c r="C15" s="1573"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7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3">
      <c r="A16" s="1292"/>
      <c r="B16" s="1564"/>
      <c r="C16" s="1573"/>
      <c r="D16" s="1290" t="s">
        <v>1442</v>
      </c>
      <c r="E16" s="1572"/>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3">
      <c r="B17" s="1477">
        <v>7</v>
      </c>
      <c r="C17" s="1288" t="s">
        <v>1758</v>
      </c>
      <c r="D17" s="71">
        <v>3</v>
      </c>
      <c r="E17" s="1540"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3">
      <c r="A18" s="1292"/>
      <c r="B18" s="1477">
        <v>8</v>
      </c>
      <c r="C18" s="1288"/>
      <c r="D18" s="1291"/>
      <c r="E18" s="1540"/>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3">
      <c r="B19" s="1477">
        <v>9</v>
      </c>
      <c r="C19" s="1286" t="s">
        <v>1496</v>
      </c>
      <c r="D19" s="71">
        <v>10</v>
      </c>
      <c r="E19" s="1540"/>
      <c r="F19" s="74"/>
      <c r="G19" s="18"/>
      <c r="H19" s="10"/>
      <c r="I19" s="10"/>
      <c r="J19" s="10"/>
      <c r="K19" s="10"/>
      <c r="L19" s="18"/>
      <c r="M19" s="18"/>
      <c r="N19" s="18"/>
      <c r="O19" s="18"/>
      <c r="P19" s="18"/>
      <c r="Q19" s="18"/>
      <c r="R19" s="18"/>
      <c r="S19" s="18"/>
      <c r="T19" s="18"/>
      <c r="U19" s="18"/>
      <c r="V19" s="18"/>
      <c r="W19" s="18"/>
      <c r="X19" s="18"/>
      <c r="Y19" s="18"/>
      <c r="Z19" s="18"/>
    </row>
    <row r="20" spans="1:26" x14ac:dyDescent="0.3">
      <c r="B20" s="1477">
        <v>10</v>
      </c>
      <c r="C20" s="1287" t="s">
        <v>1760</v>
      </c>
      <c r="D20" s="71">
        <v>120</v>
      </c>
      <c r="E20" s="1540"/>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3">
      <c r="B21" s="1477">
        <v>11</v>
      </c>
      <c r="C21" s="1288" t="s">
        <v>1274</v>
      </c>
      <c r="D21" s="71">
        <v>99</v>
      </c>
      <c r="E21" s="1540"/>
      <c r="F21" s="74"/>
      <c r="G21" s="18"/>
      <c r="H21" s="10"/>
      <c r="I21" s="10"/>
      <c r="J21" s="10"/>
      <c r="K21" s="10"/>
      <c r="L21" s="18"/>
      <c r="M21" s="18"/>
      <c r="N21" s="18"/>
      <c r="O21" s="18"/>
      <c r="P21" s="18"/>
      <c r="Q21" s="18"/>
      <c r="R21" s="18"/>
      <c r="S21" s="18"/>
      <c r="T21" s="18"/>
      <c r="U21" s="18"/>
      <c r="V21" s="18"/>
      <c r="W21" s="18"/>
      <c r="X21" s="18"/>
      <c r="Y21" s="18"/>
      <c r="Z21" s="18"/>
    </row>
    <row r="22" spans="1:26" x14ac:dyDescent="0.3">
      <c r="B22" s="1477">
        <v>12</v>
      </c>
      <c r="C22" s="1287" t="s">
        <v>755</v>
      </c>
      <c r="D22" s="71">
        <v>278</v>
      </c>
      <c r="E22" s="1483"/>
      <c r="F22" s="74"/>
      <c r="G22" s="10"/>
      <c r="H22" s="10"/>
      <c r="I22" s="10"/>
      <c r="J22" s="10"/>
      <c r="K22" s="10"/>
      <c r="L22" s="18"/>
      <c r="M22" s="18"/>
      <c r="N22" s="18"/>
      <c r="O22" s="18"/>
      <c r="P22" s="18"/>
      <c r="Q22" s="18"/>
      <c r="R22" s="18"/>
      <c r="S22" s="18"/>
      <c r="T22" s="18"/>
      <c r="U22" s="18"/>
      <c r="V22" s="18"/>
      <c r="W22" s="18"/>
      <c r="X22" s="18"/>
      <c r="Y22" s="18"/>
      <c r="Z22" s="18"/>
    </row>
    <row r="23" spans="1:26" ht="28.8" x14ac:dyDescent="0.3">
      <c r="B23" s="1477">
        <v>13</v>
      </c>
      <c r="C23" s="1288" t="s">
        <v>1757</v>
      </c>
      <c r="D23" s="72">
        <v>0</v>
      </c>
      <c r="E23" s="1482" t="s">
        <v>1763</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292"/>
      <c r="B24" s="1564">
        <v>14</v>
      </c>
      <c r="C24" s="1536" t="s">
        <v>1516</v>
      </c>
      <c r="D24" s="9"/>
      <c r="E24" s="1568" t="s">
        <v>1764</v>
      </c>
      <c r="F24" s="1544"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292"/>
      <c r="B25" s="1564"/>
      <c r="C25" s="1537"/>
      <c r="D25" s="9"/>
      <c r="E25" s="1568"/>
      <c r="F25" s="1544"/>
      <c r="G25" s="10"/>
      <c r="H25" s="10"/>
      <c r="I25" s="10"/>
      <c r="J25" s="10"/>
      <c r="K25" s="10"/>
      <c r="L25" s="18"/>
      <c r="M25" s="18"/>
      <c r="N25" s="18"/>
      <c r="O25" s="18"/>
      <c r="P25" s="18"/>
      <c r="Q25" s="18"/>
      <c r="R25" s="18"/>
      <c r="S25" s="18"/>
      <c r="T25" s="18"/>
      <c r="U25" s="18"/>
      <c r="V25" s="18"/>
      <c r="W25" s="18"/>
      <c r="X25" s="18"/>
      <c r="Y25" s="18"/>
      <c r="Z25" s="18"/>
    </row>
    <row r="26" spans="1:26" s="8" customFormat="1" x14ac:dyDescent="0.3">
      <c r="A26" s="1292"/>
      <c r="B26" s="1564"/>
      <c r="C26" s="1538"/>
      <c r="D26" s="9"/>
      <c r="E26" s="1568"/>
      <c r="F26" s="1544"/>
      <c r="G26" s="10"/>
      <c r="H26" s="10"/>
      <c r="I26" s="10"/>
      <c r="J26" s="10"/>
      <c r="K26" s="10"/>
      <c r="L26" s="18"/>
      <c r="M26" s="18"/>
      <c r="N26" s="18"/>
      <c r="O26" s="18"/>
      <c r="P26" s="18"/>
      <c r="Q26" s="18"/>
      <c r="R26" s="18"/>
      <c r="S26" s="18"/>
      <c r="T26" s="18"/>
      <c r="U26" s="18"/>
      <c r="V26" s="18"/>
      <c r="W26" s="18"/>
      <c r="X26" s="18"/>
      <c r="Y26" s="18"/>
      <c r="Z26" s="18"/>
    </row>
    <row r="27" spans="1:26" ht="32.25" customHeight="1" x14ac:dyDescent="0.3">
      <c r="B27" s="1477">
        <v>15</v>
      </c>
      <c r="C27" s="1287" t="s">
        <v>519</v>
      </c>
      <c r="D27" s="24"/>
      <c r="E27" s="1482" t="s">
        <v>1761</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3">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3">
      <c r="A29" s="1292"/>
      <c r="B29" s="1477">
        <v>17</v>
      </c>
      <c r="C29" s="1539"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292"/>
      <c r="B30" s="1477">
        <v>18</v>
      </c>
      <c r="C30" s="1539"/>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3">
      <c r="A31" s="1292"/>
      <c r="B31" s="1477">
        <v>19</v>
      </c>
      <c r="C31" s="1539"/>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3">
      <c r="B32" s="1477"/>
      <c r="C32" s="1294" t="s">
        <v>859</v>
      </c>
      <c r="D32" s="1296">
        <f>D33+D34+D35</f>
        <v>377</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3">
      <c r="B33" s="1477">
        <v>20</v>
      </c>
      <c r="C33" s="1289" t="s">
        <v>762</v>
      </c>
      <c r="D33" s="1295">
        <v>312</v>
      </c>
      <c r="E33" s="1558"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3">
      <c r="B34" s="1477">
        <v>21</v>
      </c>
      <c r="C34" s="1289" t="s">
        <v>763</v>
      </c>
      <c r="D34" s="72">
        <v>65</v>
      </c>
      <c r="E34" s="1559"/>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3">
      <c r="A35" s="1292"/>
      <c r="B35" s="1477">
        <f>B34+1</f>
        <v>22</v>
      </c>
      <c r="C35" s="1289" t="s">
        <v>1587</v>
      </c>
      <c r="D35" s="72">
        <v>0</v>
      </c>
      <c r="E35" s="1560"/>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3">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3">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3">
      <c r="A38" s="1292"/>
      <c r="B38" s="1436"/>
      <c r="C38" s="1545" t="s">
        <v>1808</v>
      </c>
      <c r="D38" s="1545"/>
      <c r="E38" s="1545"/>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5">
      <c r="A39" s="1292"/>
      <c r="B39" s="1478"/>
      <c r="C39" s="1324"/>
      <c r="D39" s="1372" t="s">
        <v>1765</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3">
      <c r="A40" s="1292"/>
      <c r="B40" s="1436"/>
      <c r="C40" s="1541" t="s">
        <v>1810</v>
      </c>
      <c r="D40" s="1541"/>
      <c r="E40" s="1541"/>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5">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5">
      <c r="B42" s="1476">
        <f>2/8</f>
        <v>0.25</v>
      </c>
      <c r="C42" s="1555" t="s">
        <v>1452</v>
      </c>
      <c r="D42" s="1556"/>
      <c r="E42" s="1557"/>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3">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3">
      <c r="B44" s="1477">
        <f>B36+1</f>
        <v>24</v>
      </c>
      <c r="C44" s="1297" t="s">
        <v>1766</v>
      </c>
      <c r="D44" s="1304">
        <v>7936.2</v>
      </c>
      <c r="E44" s="1485" t="s">
        <v>1777</v>
      </c>
      <c r="F44" s="1438"/>
      <c r="G44" s="1306">
        <f>IF($D$14=списки!$B$3,D44,'Серии планировка'!F76)</f>
        <v>7936.2</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3">
      <c r="B45" s="1477">
        <f>B44+1</f>
        <v>25</v>
      </c>
      <c r="C45" s="1294" t="s">
        <v>1767</v>
      </c>
      <c r="D45" s="1304">
        <v>6834.4</v>
      </c>
      <c r="E45" s="1486" t="s">
        <v>1778</v>
      </c>
      <c r="F45" s="1438" t="str">
        <f>IF(AND(D45&lt;&gt;0,$D$14="нет в списке",D45&gt;=D44),"Ошибка. Значение должно быть меньше общей площади","")</f>
        <v/>
      </c>
      <c r="G45" s="1306">
        <f>IF($D$14=списки!$B$3,D45,'Серии планировка'!G76)</f>
        <v>6834.4</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3">
      <c r="A46" s="1292"/>
      <c r="B46" s="1477">
        <f t="shared" ref="B46:B66" si="1">B45+1</f>
        <v>26</v>
      </c>
      <c r="C46" s="1521" t="s">
        <v>1776</v>
      </c>
      <c r="D46" s="1304">
        <v>4122.5</v>
      </c>
      <c r="E46" s="1486" t="s">
        <v>1779</v>
      </c>
      <c r="F46" s="1438" t="str">
        <f>IF(AND(D46&lt;&gt;0,$D$14="нет в списке",D46&gt;=D45),"Ошибка. Значение должно быть меньше площади квартир","")</f>
        <v/>
      </c>
      <c r="G46" s="1306">
        <f>IF($D$14=списки!$B$3,D46,'Серии планировка'!H76)</f>
        <v>4122.5</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3">
      <c r="A47" s="1292"/>
      <c r="B47" s="1477">
        <f>B46+1</f>
        <v>27</v>
      </c>
      <c r="C47" s="1521" t="s">
        <v>1558</v>
      </c>
      <c r="D47" s="1305">
        <v>82.3</v>
      </c>
      <c r="E47" s="1486" t="s">
        <v>1560</v>
      </c>
      <c r="F47" s="1438"/>
      <c r="G47" s="1307">
        <f>IF($D$14=списки!$B$3,D47,'Серии планировка'!$L$76)</f>
        <v>82.3</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3">
      <c r="A48" s="1292"/>
      <c r="B48" s="1477">
        <f t="shared" si="1"/>
        <v>28</v>
      </c>
      <c r="C48" s="1521" t="s">
        <v>1559</v>
      </c>
      <c r="D48" s="1305">
        <v>13</v>
      </c>
      <c r="E48" s="1486" t="s">
        <v>1561</v>
      </c>
      <c r="F48" s="1438"/>
      <c r="G48" s="1306">
        <f>IF($D$14=списки!$B$3,D48,'Серии планировка'!$M$76)</f>
        <v>13</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3">
      <c r="A49" s="1292"/>
      <c r="B49" s="1477">
        <f t="shared" si="1"/>
        <v>29</v>
      </c>
      <c r="C49" s="1521" t="s">
        <v>1557</v>
      </c>
      <c r="D49" s="1305">
        <v>28</v>
      </c>
      <c r="E49" s="1486" t="s">
        <v>1632</v>
      </c>
      <c r="F49" s="1438"/>
      <c r="G49" s="1306">
        <f>IF($D$14=списки!$B$3,D49,'Серии планировка'!$J$76)</f>
        <v>28</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3">
      <c r="A50" s="1292"/>
      <c r="B50" s="1477">
        <f t="shared" si="1"/>
        <v>30</v>
      </c>
      <c r="C50" s="1521" t="s">
        <v>1784</v>
      </c>
      <c r="D50" s="1305">
        <v>5336.8</v>
      </c>
      <c r="E50" s="1486" t="s">
        <v>1783</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5336.8</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3">
      <c r="B51" s="1477">
        <f t="shared" si="1"/>
        <v>31</v>
      </c>
      <c r="C51" s="1522" t="s">
        <v>1768</v>
      </c>
      <c r="D51" s="1301">
        <f>D50-D53-D56-D59-D66</f>
        <v>4038.8</v>
      </c>
      <c r="E51" s="1486" t="s">
        <v>1780</v>
      </c>
      <c r="F51" s="1438" t="str">
        <f>IF(AND(D51&lt;&gt;0,$D$14="нет в списке",D51&gt;=D50),"Ошибка. Значение должно быть меньше площади фасадов","")</f>
        <v/>
      </c>
      <c r="G51" s="1308">
        <f>G50-G53-G56-G59-G66</f>
        <v>4038.8</v>
      </c>
      <c r="H51" s="18"/>
      <c r="I51" s="1306">
        <f t="shared" si="2"/>
        <v>0</v>
      </c>
      <c r="J51" s="10"/>
      <c r="K51" s="10"/>
      <c r="L51" s="18"/>
      <c r="M51" s="18"/>
      <c r="N51" s="18"/>
      <c r="O51" s="18"/>
      <c r="P51" s="18"/>
      <c r="Q51" s="18"/>
      <c r="R51" s="18"/>
      <c r="S51" s="18"/>
      <c r="T51" s="18"/>
      <c r="U51" s="18"/>
      <c r="V51" s="18"/>
      <c r="W51" s="18"/>
      <c r="X51" s="18"/>
      <c r="Y51" s="18"/>
      <c r="Z51" s="18"/>
    </row>
    <row r="52" spans="1:26" ht="24" x14ac:dyDescent="0.3">
      <c r="B52" s="1477">
        <f t="shared" si="1"/>
        <v>32</v>
      </c>
      <c r="C52" s="1294" t="s">
        <v>821</v>
      </c>
      <c r="D52" s="1300">
        <v>390</v>
      </c>
      <c r="E52" s="1486" t="s">
        <v>1781</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390</v>
      </c>
      <c r="H52" s="18"/>
      <c r="I52" s="1306">
        <f t="shared" si="2"/>
        <v>0</v>
      </c>
      <c r="J52" s="10"/>
      <c r="K52" s="10"/>
      <c r="L52" s="18"/>
      <c r="M52" s="18"/>
      <c r="N52" s="18"/>
      <c r="O52" s="18"/>
      <c r="P52" s="18"/>
      <c r="Q52" s="18"/>
      <c r="R52" s="18"/>
      <c r="S52" s="18"/>
      <c r="T52" s="18"/>
      <c r="U52" s="18"/>
      <c r="V52" s="18"/>
      <c r="W52" s="18"/>
      <c r="X52" s="18"/>
      <c r="Y52" s="18"/>
      <c r="Z52" s="18"/>
    </row>
    <row r="53" spans="1:26" ht="16.2" x14ac:dyDescent="0.3">
      <c r="B53" s="1477">
        <f t="shared" si="1"/>
        <v>33</v>
      </c>
      <c r="C53" s="1294" t="s">
        <v>1769</v>
      </c>
      <c r="D53" s="1303">
        <v>1170</v>
      </c>
      <c r="E53" s="1486" t="s">
        <v>1782</v>
      </c>
      <c r="F53" s="1438"/>
      <c r="G53" s="1306">
        <f>IF($D$14=списки!$B$3,D53,'Серии планировка'!T76)</f>
        <v>1170</v>
      </c>
      <c r="H53" s="18"/>
      <c r="I53" s="1306">
        <f t="shared" si="2"/>
        <v>0</v>
      </c>
      <c r="J53" s="10"/>
      <c r="K53" s="10"/>
      <c r="L53" s="18"/>
      <c r="M53" s="18"/>
      <c r="N53" s="18"/>
      <c r="O53" s="18"/>
      <c r="P53" s="18"/>
      <c r="Q53" s="18"/>
      <c r="R53" s="18"/>
      <c r="S53" s="18"/>
      <c r="T53" s="18"/>
      <c r="U53" s="18"/>
      <c r="V53" s="18"/>
      <c r="W53" s="18"/>
      <c r="X53" s="18"/>
      <c r="Y53" s="18"/>
      <c r="Z53" s="18"/>
    </row>
    <row r="54" spans="1:26" ht="28.8" x14ac:dyDescent="0.3">
      <c r="B54" s="1477">
        <f t="shared" si="1"/>
        <v>34</v>
      </c>
      <c r="C54" s="1521" t="s">
        <v>1278</v>
      </c>
      <c r="D54" s="1298" t="s">
        <v>1944</v>
      </c>
      <c r="E54" s="1486" t="s">
        <v>1786</v>
      </c>
      <c r="F54" s="1438"/>
      <c r="G54" s="1306">
        <f>'Серии теплотехника'!B46</f>
        <v>0.34</v>
      </c>
      <c r="H54" s="18"/>
      <c r="I54" s="1306">
        <f t="shared" si="2"/>
        <v>0</v>
      </c>
      <c r="J54" s="10"/>
      <c r="K54" s="10"/>
      <c r="L54" s="18"/>
      <c r="M54" s="18"/>
      <c r="N54" s="18"/>
      <c r="O54" s="18"/>
      <c r="P54" s="18"/>
      <c r="Q54" s="18"/>
      <c r="R54" s="18"/>
      <c r="S54" s="18"/>
      <c r="T54" s="18"/>
      <c r="U54" s="18"/>
      <c r="V54" s="18"/>
      <c r="W54" s="18"/>
      <c r="X54" s="18"/>
      <c r="Y54" s="18"/>
      <c r="Z54" s="18"/>
    </row>
    <row r="55" spans="1:26" x14ac:dyDescent="0.3">
      <c r="B55" s="1477">
        <f t="shared" si="1"/>
        <v>35</v>
      </c>
      <c r="C55" s="1521" t="s">
        <v>860</v>
      </c>
      <c r="D55" s="1298">
        <v>81</v>
      </c>
      <c r="E55" s="1486" t="s">
        <v>1919</v>
      </c>
      <c r="F55" s="1438"/>
      <c r="G55" s="1306">
        <f>IF($D$14=списки!$B$3,D55,'Серии планировка'!R76)</f>
        <v>81</v>
      </c>
      <c r="H55" s="18"/>
      <c r="I55" s="1306">
        <f t="shared" si="2"/>
        <v>0</v>
      </c>
      <c r="J55" s="10"/>
      <c r="K55" s="18"/>
      <c r="L55" s="18"/>
      <c r="M55" s="18"/>
      <c r="N55" s="18"/>
      <c r="O55" s="18"/>
      <c r="P55" s="18"/>
      <c r="Q55" s="18"/>
      <c r="R55" s="18"/>
      <c r="S55" s="18"/>
      <c r="T55" s="18"/>
      <c r="U55" s="18"/>
      <c r="V55" s="18"/>
      <c r="W55" s="18"/>
      <c r="X55" s="18"/>
      <c r="Y55" s="18"/>
      <c r="Z55" s="18"/>
    </row>
    <row r="56" spans="1:26" ht="24" x14ac:dyDescent="0.3">
      <c r="B56" s="1477">
        <f t="shared" si="1"/>
        <v>36</v>
      </c>
      <c r="C56" s="1286" t="s">
        <v>1770</v>
      </c>
      <c r="D56" s="1302">
        <v>122</v>
      </c>
      <c r="E56" s="1486" t="s">
        <v>1787</v>
      </c>
      <c r="F56" s="1438"/>
      <c r="G56" s="1306">
        <f>IF($D$14=списки!$B$3,D56,'Серии планировка'!U76)</f>
        <v>122</v>
      </c>
      <c r="H56" s="18"/>
      <c r="I56" s="1306">
        <f t="shared" si="2"/>
        <v>0</v>
      </c>
      <c r="J56" s="10"/>
      <c r="K56" s="10"/>
      <c r="L56" s="18"/>
      <c r="M56" s="18"/>
      <c r="N56" s="18"/>
      <c r="O56" s="18"/>
      <c r="P56" s="18"/>
      <c r="Q56" s="18"/>
      <c r="R56" s="18"/>
      <c r="S56" s="18"/>
      <c r="T56" s="18"/>
      <c r="U56" s="18"/>
      <c r="V56" s="18"/>
      <c r="W56" s="18"/>
      <c r="X56" s="18"/>
      <c r="Y56" s="18"/>
      <c r="Z56" s="18"/>
    </row>
    <row r="57" spans="1:26" ht="28.8" x14ac:dyDescent="0.3">
      <c r="B57" s="1477">
        <f t="shared" si="1"/>
        <v>37</v>
      </c>
      <c r="C57" s="1521" t="s">
        <v>758</v>
      </c>
      <c r="D57" s="1298" t="s">
        <v>1944</v>
      </c>
      <c r="E57" s="1486" t="s">
        <v>1788</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3">
      <c r="A58" s="1292"/>
      <c r="B58" s="1477">
        <f>B57+1</f>
        <v>38</v>
      </c>
      <c r="C58" s="1521" t="s">
        <v>1592</v>
      </c>
      <c r="D58" s="1299">
        <v>0</v>
      </c>
      <c r="E58" s="1486" t="s">
        <v>1789</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3">
      <c r="A59" s="1292"/>
      <c r="B59" s="1477">
        <f>B58+1</f>
        <v>39</v>
      </c>
      <c r="C59" s="1521" t="s">
        <v>1785</v>
      </c>
      <c r="D59" s="1302">
        <v>0</v>
      </c>
      <c r="E59" s="1486" t="s">
        <v>1787</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0.6" x14ac:dyDescent="0.3">
      <c r="B60" s="1477">
        <f t="shared" si="1"/>
        <v>40</v>
      </c>
      <c r="C60" s="1521" t="s">
        <v>1771</v>
      </c>
      <c r="D60" s="1302">
        <v>1069.4000000000001</v>
      </c>
      <c r="E60" s="1486" t="s">
        <v>1792</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1069.4000000000001</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3">
      <c r="A61" s="1292"/>
      <c r="B61" s="1477">
        <f t="shared" si="1"/>
        <v>41</v>
      </c>
      <c r="C61" s="1521" t="s">
        <v>1772</v>
      </c>
      <c r="D61" s="1302"/>
      <c r="E61" s="1486" t="s">
        <v>1790</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x14ac:dyDescent="0.3">
      <c r="B62" s="1477">
        <f t="shared" si="1"/>
        <v>42</v>
      </c>
      <c r="C62" s="1521" t="s">
        <v>1773</v>
      </c>
      <c r="D62" s="1302"/>
      <c r="E62" s="1486" t="s">
        <v>1791</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3">
      <c r="B63" s="1477">
        <f t="shared" si="1"/>
        <v>43</v>
      </c>
      <c r="C63" s="1521" t="s">
        <v>1774</v>
      </c>
      <c r="D63" s="1302"/>
      <c r="E63" s="1486" t="s">
        <v>1793</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0</v>
      </c>
      <c r="H63" s="18"/>
      <c r="I63" s="1306">
        <f t="shared" si="2"/>
        <v>0</v>
      </c>
      <c r="J63" s="10"/>
      <c r="K63" s="10"/>
      <c r="L63" s="18"/>
      <c r="M63" s="18"/>
      <c r="N63" s="18"/>
      <c r="O63" s="18"/>
      <c r="P63" s="18"/>
      <c r="Q63" s="18"/>
      <c r="R63" s="18"/>
      <c r="S63" s="18"/>
      <c r="T63" s="18"/>
      <c r="U63" s="18"/>
      <c r="V63" s="18"/>
      <c r="W63" s="18"/>
      <c r="X63" s="18"/>
      <c r="Y63" s="18"/>
      <c r="Z63" s="18"/>
    </row>
    <row r="64" spans="1:26" s="17" customFormat="1" ht="45" x14ac:dyDescent="0.3">
      <c r="A64" s="1292"/>
      <c r="B64" s="1477">
        <f t="shared" si="1"/>
        <v>44</v>
      </c>
      <c r="C64" s="1521" t="s">
        <v>1775</v>
      </c>
      <c r="D64" s="1302">
        <v>1069.4000000000001</v>
      </c>
      <c r="E64" s="1486" t="s">
        <v>1794</v>
      </c>
      <c r="F64" s="1438"/>
      <c r="G64" s="1309">
        <f>IF($D$14=списки!$B$3,D64,IF(OR(списки!D33=0,AND(списки!D33=1,списки!D34=1)),'Серии планировка'!Z76,0))</f>
        <v>1069.4000000000001</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3">
      <c r="A65" s="1292"/>
      <c r="B65" s="1477">
        <f t="shared" si="1"/>
        <v>45</v>
      </c>
      <c r="C65" s="1521" t="s">
        <v>1336</v>
      </c>
      <c r="D65" s="1299">
        <v>3</v>
      </c>
      <c r="E65" s="1565" t="s">
        <v>1918</v>
      </c>
      <c r="F65" s="1438" t="str">
        <f>IF(AND(D65&lt;&gt;0,$D$14="нет в списке",OR(D65&lt;D17,D65&gt;4*D17)),"Ошибка. Входных дверей может быть от 1 до 3 на секцию (подъезд)","")</f>
        <v/>
      </c>
      <c r="G65" s="1306">
        <f>IF($D$14=списки!$B$3,D65,'Серии планировка'!V76)</f>
        <v>3</v>
      </c>
      <c r="H65" s="18"/>
      <c r="I65" s="1306">
        <f t="shared" si="2"/>
        <v>0</v>
      </c>
      <c r="J65" s="18"/>
      <c r="K65" s="18"/>
      <c r="L65" s="18"/>
      <c r="M65" s="18"/>
      <c r="N65" s="18"/>
      <c r="O65" s="18"/>
      <c r="P65" s="18"/>
      <c r="Q65" s="18"/>
      <c r="R65" s="18"/>
      <c r="S65" s="18"/>
      <c r="T65" s="18"/>
      <c r="U65" s="18"/>
      <c r="V65" s="18"/>
      <c r="W65" s="18"/>
      <c r="X65" s="18"/>
      <c r="Y65" s="18"/>
      <c r="Z65" s="18"/>
    </row>
    <row r="66" spans="1:26" s="8" customFormat="1" ht="16.2" x14ac:dyDescent="0.3">
      <c r="A66" s="1292"/>
      <c r="B66" s="1477">
        <f t="shared" si="1"/>
        <v>46</v>
      </c>
      <c r="C66" s="1521" t="s">
        <v>1795</v>
      </c>
      <c r="D66" s="1302">
        <v>6</v>
      </c>
      <c r="E66" s="1566"/>
      <c r="F66" s="1438" t="str">
        <f>IF(AND(D66&lt;&gt;0,$D$14="нет в списке",OR(D66&lt;D65*2,D66&gt;=6*D65)),"Ошибка. Площадь одной входной двери должна быть в пределах 2-5 м2","")</f>
        <v/>
      </c>
      <c r="G66" s="1306">
        <f>IF($D$14=списки!$B$3,D66,'Серии планировка'!W76)</f>
        <v>6</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3">
      <c r="B67" s="1436"/>
      <c r="C67" s="1"/>
      <c r="D67" s="1525"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3">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3">
      <c r="A69" s="1292"/>
      <c r="B69" s="1436"/>
      <c r="C69" s="1555" t="s">
        <v>1796</v>
      </c>
      <c r="D69" s="1556"/>
      <c r="E69" s="1557"/>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3">
      <c r="A70" s="1292"/>
      <c r="B70" s="1477">
        <f>B66+1</f>
        <v>47</v>
      </c>
      <c r="C70" s="1313" t="s">
        <v>514</v>
      </c>
      <c r="D70" s="70"/>
      <c r="E70" s="1561"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292"/>
      <c r="B71" s="1477">
        <f>B70+1</f>
        <v>48</v>
      </c>
      <c r="C71" s="1313" t="s">
        <v>1583</v>
      </c>
      <c r="D71" s="70"/>
      <c r="E71" s="1562"/>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292"/>
      <c r="B72" s="1477">
        <f t="shared" ref="B72:B76" si="3">B71+1</f>
        <v>49</v>
      </c>
      <c r="C72" s="1313" t="s">
        <v>1584</v>
      </c>
      <c r="D72" s="70"/>
      <c r="E72" s="1562"/>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292"/>
      <c r="B73" s="1477">
        <f t="shared" si="3"/>
        <v>50</v>
      </c>
      <c r="C73" s="1313" t="s">
        <v>1588</v>
      </c>
      <c r="D73" s="70"/>
      <c r="E73" s="1562"/>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292"/>
      <c r="B74" s="1477">
        <f t="shared" si="3"/>
        <v>51</v>
      </c>
      <c r="C74" s="1313" t="s">
        <v>1585</v>
      </c>
      <c r="D74" s="70"/>
      <c r="E74" s="1562"/>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292"/>
      <c r="B75" s="1477">
        <f t="shared" si="3"/>
        <v>52</v>
      </c>
      <c r="C75" s="1313" t="s">
        <v>1586</v>
      </c>
      <c r="D75" s="70"/>
      <c r="E75" s="1562"/>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3">
      <c r="A76" s="1292"/>
      <c r="B76" s="1477">
        <f t="shared" si="3"/>
        <v>53</v>
      </c>
      <c r="C76" s="1313" t="s">
        <v>1594</v>
      </c>
      <c r="D76" s="70"/>
      <c r="E76" s="1563"/>
      <c r="F76" s="74"/>
      <c r="G76" s="18"/>
      <c r="H76" s="18"/>
      <c r="I76" s="18"/>
      <c r="J76" s="18"/>
      <c r="K76" s="18"/>
      <c r="L76" s="18"/>
      <c r="M76" s="18"/>
      <c r="N76" s="18"/>
      <c r="O76" s="18"/>
      <c r="P76" s="18"/>
      <c r="Q76" s="18"/>
      <c r="R76" s="18"/>
      <c r="S76" s="18"/>
      <c r="T76" s="18"/>
      <c r="U76" s="18"/>
      <c r="V76" s="18"/>
      <c r="W76" s="18"/>
      <c r="X76" s="18"/>
      <c r="Y76" s="18"/>
      <c r="Z76" s="18"/>
    </row>
    <row r="77" spans="1:26" x14ac:dyDescent="0.3">
      <c r="B77" s="1436"/>
      <c r="C77" s="1310" t="s">
        <v>1751</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 thickBot="1" x14ac:dyDescent="0.35">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5">
      <c r="A79" s="1375"/>
      <c r="B79" s="1476">
        <f>3/8</f>
        <v>0.375</v>
      </c>
      <c r="C79" s="1543" t="s">
        <v>1825</v>
      </c>
      <c r="D79" s="1543"/>
      <c r="E79" s="1543"/>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5">
      <c r="B80" s="1436"/>
      <c r="C80" s="1567" t="s">
        <v>766</v>
      </c>
      <c r="D80" s="1567"/>
      <c r="E80" s="1567"/>
      <c r="F80" s="74"/>
      <c r="G80" s="1"/>
      <c r="H80" s="1"/>
      <c r="I80" s="1"/>
      <c r="J80" s="10"/>
      <c r="K80" s="10"/>
      <c r="L80" s="18"/>
      <c r="M80" s="18"/>
      <c r="N80" s="18"/>
      <c r="O80" s="18"/>
      <c r="P80" s="18"/>
      <c r="Q80" s="18"/>
      <c r="R80" s="18"/>
      <c r="S80" s="18"/>
      <c r="T80" s="18"/>
      <c r="U80" s="18"/>
      <c r="V80" s="18"/>
      <c r="W80" s="18"/>
      <c r="X80" s="18"/>
      <c r="Y80" s="18"/>
      <c r="Z80" s="18"/>
    </row>
    <row r="81" spans="2:26" x14ac:dyDescent="0.3">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3">
      <c r="B82" s="1436"/>
      <c r="C82" s="1549" t="s">
        <v>764</v>
      </c>
      <c r="D82" s="1549"/>
      <c r="E82" s="1549"/>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3">
      <c r="B83" s="1477">
        <f>B76+1</f>
        <v>54</v>
      </c>
      <c r="C83" s="1286" t="s">
        <v>1800</v>
      </c>
      <c r="D83" s="69">
        <v>20</v>
      </c>
      <c r="E83" s="1311" t="s">
        <v>1797</v>
      </c>
      <c r="F83" s="74"/>
      <c r="G83" s="1"/>
      <c r="H83" s="1"/>
      <c r="I83" s="1"/>
      <c r="J83" s="10"/>
      <c r="K83" s="10"/>
      <c r="L83" s="18"/>
      <c r="M83" s="18"/>
      <c r="N83" s="18"/>
      <c r="O83" s="18"/>
      <c r="P83" s="18"/>
      <c r="Q83" s="18"/>
      <c r="R83" s="18"/>
      <c r="S83" s="18"/>
      <c r="T83" s="18"/>
      <c r="U83" s="18"/>
      <c r="V83" s="18"/>
      <c r="W83" s="18"/>
      <c r="X83" s="18"/>
      <c r="Y83" s="18"/>
      <c r="Z83" s="18"/>
    </row>
    <row r="84" spans="2:26" ht="46.2" x14ac:dyDescent="0.3">
      <c r="B84" s="1477">
        <f>B83+1</f>
        <v>55</v>
      </c>
      <c r="C84" s="1286" t="s">
        <v>1802</v>
      </c>
      <c r="D84" s="1314">
        <v>16</v>
      </c>
      <c r="E84" s="1312" t="s">
        <v>1799</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3">
      <c r="B85" s="1477">
        <f>B84+1</f>
        <v>56</v>
      </c>
      <c r="C85" s="1286" t="s">
        <v>1801</v>
      </c>
      <c r="D85" s="69">
        <v>2</v>
      </c>
      <c r="E85" s="1312" t="s">
        <v>1798</v>
      </c>
      <c r="F85" s="74"/>
      <c r="G85" s="1"/>
      <c r="H85" s="1"/>
      <c r="I85" s="1"/>
      <c r="J85" s="10"/>
      <c r="K85" s="10"/>
      <c r="L85" s="18"/>
      <c r="M85" s="18"/>
      <c r="N85" s="18"/>
      <c r="O85" s="18"/>
      <c r="P85" s="18"/>
      <c r="Q85" s="18"/>
      <c r="R85" s="18"/>
      <c r="S85" s="18"/>
      <c r="T85" s="18"/>
      <c r="U85" s="18"/>
      <c r="V85" s="18"/>
      <c r="W85" s="18"/>
      <c r="X85" s="18"/>
      <c r="Y85" s="18"/>
      <c r="Z85" s="18"/>
    </row>
    <row r="86" spans="2:26" x14ac:dyDescent="0.3">
      <c r="B86" s="1436"/>
      <c r="C86" s="1542" t="str">
        <f>IF(OR(D83="",D84="",D85=""),"Введите температуры, пользуясь подсказками. Если чердак или подвал отсутствуют, оставьте любое из предлагаемых значений","")</f>
        <v/>
      </c>
      <c r="D86" s="1542"/>
      <c r="E86" s="1542"/>
      <c r="F86" s="74"/>
      <c r="G86" s="1"/>
      <c r="H86" s="1"/>
      <c r="I86" s="1"/>
      <c r="J86" s="10"/>
      <c r="K86" s="10"/>
      <c r="L86" s="18"/>
      <c r="M86" s="18"/>
      <c r="N86" s="18"/>
      <c r="O86" s="18"/>
      <c r="P86" s="18"/>
      <c r="Q86" s="18"/>
      <c r="R86" s="18"/>
      <c r="S86" s="18"/>
      <c r="T86" s="18"/>
      <c r="U86" s="18"/>
      <c r="V86" s="18"/>
      <c r="W86" s="18"/>
      <c r="X86" s="18"/>
      <c r="Y86" s="18"/>
      <c r="Z86" s="18"/>
    </row>
    <row r="87" spans="2:26" x14ac:dyDescent="0.3">
      <c r="B87" s="1436"/>
      <c r="C87" s="1293" t="s">
        <v>765</v>
      </c>
      <c r="D87" s="1"/>
      <c r="E87" s="1293" t="s">
        <v>1809</v>
      </c>
      <c r="F87" s="74"/>
      <c r="G87" s="1"/>
      <c r="H87" s="1"/>
      <c r="I87" s="1"/>
      <c r="J87" s="10"/>
      <c r="K87" s="10"/>
      <c r="L87" s="18"/>
      <c r="M87" s="18"/>
      <c r="N87" s="18"/>
      <c r="O87" s="18"/>
      <c r="P87" s="18"/>
      <c r="Q87" s="18"/>
      <c r="R87" s="18"/>
      <c r="S87" s="18"/>
      <c r="T87" s="18"/>
      <c r="U87" s="18"/>
      <c r="V87" s="18"/>
      <c r="W87" s="18"/>
      <c r="X87" s="18"/>
      <c r="Y87" s="18"/>
      <c r="Z87" s="18"/>
    </row>
    <row r="88" spans="2:26" x14ac:dyDescent="0.3">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3">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3">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3">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3">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3">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3">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3">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5">
      <c r="B96" s="1436"/>
      <c r="C96" s="1547" t="s">
        <v>784</v>
      </c>
      <c r="D96" s="1547"/>
      <c r="E96" s="1547"/>
      <c r="F96" s="74"/>
      <c r="G96" s="1"/>
      <c r="H96" s="1"/>
      <c r="I96" s="1"/>
      <c r="J96" s="10"/>
      <c r="K96" s="10"/>
      <c r="L96" s="18"/>
      <c r="M96" s="18"/>
      <c r="N96" s="18"/>
      <c r="O96" s="18"/>
      <c r="P96" s="18"/>
      <c r="Q96" s="18"/>
      <c r="R96" s="18"/>
      <c r="S96" s="18"/>
      <c r="T96" s="18"/>
      <c r="U96" s="18"/>
      <c r="V96" s="18"/>
      <c r="W96" s="18"/>
      <c r="X96" s="18"/>
      <c r="Y96" s="18"/>
      <c r="Z96" s="18"/>
    </row>
    <row r="97" spans="1:26" x14ac:dyDescent="0.3">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3">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3">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3">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3">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3">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3">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3">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3">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3">
      <c r="B106" s="1436"/>
      <c r="C106" s="1549" t="s">
        <v>785</v>
      </c>
      <c r="D106" s="1549"/>
      <c r="E106" s="1549"/>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3">
      <c r="B107" s="1477">
        <f>D99+1</f>
        <v>61</v>
      </c>
      <c r="C107" s="1500" t="s">
        <v>1909</v>
      </c>
      <c r="D107" s="68">
        <v>60</v>
      </c>
      <c r="E107" s="1316" t="s">
        <v>1915</v>
      </c>
      <c r="F107" s="74"/>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477">
        <f>B107+1</f>
        <v>62</v>
      </c>
      <c r="C108" s="1286" t="s">
        <v>1803</v>
      </c>
      <c r="D108" s="68">
        <v>5</v>
      </c>
      <c r="E108" s="1316" t="s">
        <v>1805</v>
      </c>
      <c r="F108" s="74"/>
      <c r="G108" s="1"/>
      <c r="H108" s="1"/>
      <c r="I108" s="1"/>
      <c r="J108" s="10"/>
      <c r="K108" s="10"/>
      <c r="L108" s="18"/>
      <c r="M108" s="18"/>
      <c r="N108" s="18"/>
      <c r="O108" s="18"/>
      <c r="P108" s="18"/>
      <c r="Q108" s="18"/>
      <c r="R108" s="18"/>
      <c r="S108" s="18"/>
      <c r="T108" s="18"/>
      <c r="U108" s="18"/>
      <c r="V108" s="18"/>
      <c r="W108" s="18"/>
      <c r="X108" s="18"/>
      <c r="Y108" s="18"/>
      <c r="Z108" s="18"/>
    </row>
    <row r="109" spans="1:26" ht="30.6" x14ac:dyDescent="0.3">
      <c r="B109" s="1477">
        <f t="shared" ref="B109:B112" si="4">B108+1</f>
        <v>63</v>
      </c>
      <c r="C109" s="1286" t="s">
        <v>1804</v>
      </c>
      <c r="D109" s="68">
        <v>15</v>
      </c>
      <c r="E109" s="1316" t="s">
        <v>1806</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3">
      <c r="B110" s="1477">
        <f t="shared" si="4"/>
        <v>64</v>
      </c>
      <c r="C110" s="1317" t="s">
        <v>1807</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x14ac:dyDescent="0.3">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3.2" x14ac:dyDescent="0.3">
      <c r="B112" s="1477">
        <f t="shared" si="4"/>
        <v>66</v>
      </c>
      <c r="C112" s="1317" t="s">
        <v>788</v>
      </c>
      <c r="D112" s="68">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5" x14ac:dyDescent="0.3">
      <c r="B113" s="1501" t="s">
        <v>1916</v>
      </c>
      <c r="C113" s="1286" t="s">
        <v>1917</v>
      </c>
      <c r="D113" s="68">
        <v>3</v>
      </c>
      <c r="E113" s="1316" t="s">
        <v>1920</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3">
      <c r="B114" s="1436"/>
      <c r="C114" s="1548" t="str">
        <f>IF(OR(C107="",D107="",D108="",D109="",D110="",D111="",D112=""),"Заполните таблицу","")</f>
        <v/>
      </c>
      <c r="D114" s="1548"/>
      <c r="E114" s="1548"/>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3">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3">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3">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3">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3">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3">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3">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3">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3">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3">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3">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5">
      <c r="A127" s="1292"/>
      <c r="B127" s="1436"/>
      <c r="C127" s="1547" t="s">
        <v>972</v>
      </c>
      <c r="D127" s="1547"/>
      <c r="E127" s="1547"/>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3">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3">
      <c r="A129" s="1292"/>
      <c r="B129" s="1436"/>
      <c r="C129" s="1535" t="s">
        <v>1003</v>
      </c>
      <c r="D129" s="1535"/>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3">
      <c r="A130" s="1292"/>
      <c r="B130" s="1436"/>
      <c r="C130" s="1332" t="s">
        <v>1811</v>
      </c>
      <c r="D130" s="1332" t="s">
        <v>1900</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3">
      <c r="A131" s="1292"/>
      <c r="B131" s="1477">
        <f>B125+1</f>
        <v>70</v>
      </c>
      <c r="C131" s="1328" t="s">
        <v>1814</v>
      </c>
      <c r="D131" s="1330">
        <v>2920</v>
      </c>
      <c r="E131" s="1550" t="s">
        <v>983</v>
      </c>
      <c r="F131" s="1331" t="s">
        <v>977</v>
      </c>
      <c r="G131" s="68">
        <v>3</v>
      </c>
      <c r="H131" s="68">
        <v>100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3">
      <c r="A132" s="1292"/>
      <c r="B132" s="1477">
        <f>B131+1</f>
        <v>71</v>
      </c>
      <c r="C132" s="1328" t="s">
        <v>1815</v>
      </c>
      <c r="D132" s="1330">
        <v>2920</v>
      </c>
      <c r="E132" s="1551"/>
      <c r="F132" s="1331" t="s">
        <v>977</v>
      </c>
      <c r="G132" s="68">
        <v>33</v>
      </c>
      <c r="H132" s="68">
        <v>60</v>
      </c>
      <c r="I132" s="1331" t="s">
        <v>467</v>
      </c>
      <c r="J132" s="18"/>
      <c r="K132" s="18"/>
      <c r="L132" s="18"/>
      <c r="M132" s="18"/>
      <c r="N132" s="18"/>
      <c r="O132" s="18"/>
      <c r="P132" s="18"/>
      <c r="Q132" s="18"/>
      <c r="R132" s="18"/>
      <c r="S132" s="18"/>
      <c r="T132" s="18"/>
      <c r="U132" s="18"/>
      <c r="V132" s="18"/>
      <c r="W132" s="18"/>
      <c r="X132" s="18"/>
      <c r="Y132" s="18"/>
      <c r="Z132" s="18"/>
    </row>
    <row r="133" spans="1:26" s="17" customFormat="1" ht="41.4" x14ac:dyDescent="0.3">
      <c r="A133" s="1292"/>
      <c r="B133" s="1477">
        <f t="shared" ref="B133:B135" si="5">B132+1</f>
        <v>72</v>
      </c>
      <c r="C133" s="1328" t="s">
        <v>1816</v>
      </c>
      <c r="D133" s="1330">
        <v>4380</v>
      </c>
      <c r="E133" s="1523" t="s">
        <v>986</v>
      </c>
      <c r="F133" s="1331" t="s">
        <v>977</v>
      </c>
      <c r="G133" s="68"/>
      <c r="H133" s="68"/>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292"/>
      <c r="B134" s="1477">
        <f t="shared" si="5"/>
        <v>73</v>
      </c>
      <c r="C134" s="1328" t="s">
        <v>1813</v>
      </c>
      <c r="D134" s="1330">
        <v>300</v>
      </c>
      <c r="E134" s="1523" t="s">
        <v>987</v>
      </c>
      <c r="F134" s="1331" t="s">
        <v>977</v>
      </c>
      <c r="G134" s="68">
        <v>3</v>
      </c>
      <c r="H134" s="68">
        <v>60</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3">
      <c r="A135" s="1292"/>
      <c r="B135" s="1477">
        <f t="shared" si="5"/>
        <v>74</v>
      </c>
      <c r="C135" s="1328" t="s">
        <v>1469</v>
      </c>
      <c r="D135" s="1330">
        <v>100</v>
      </c>
      <c r="E135" s="1523" t="s">
        <v>988</v>
      </c>
      <c r="F135" s="1331" t="s">
        <v>977</v>
      </c>
      <c r="G135" s="68"/>
      <c r="H135" s="68"/>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3">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292"/>
      <c r="B137" s="1436"/>
      <c r="C137" s="1535" t="s">
        <v>1470</v>
      </c>
      <c r="D137" s="1535"/>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3">
      <c r="A138" s="1292"/>
      <c r="B138" s="1477">
        <f>B135+1</f>
        <v>75</v>
      </c>
      <c r="C138" s="1285" t="s">
        <v>989</v>
      </c>
      <c r="D138" s="68">
        <v>3</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3.2" x14ac:dyDescent="0.3">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3">
      <c r="A140" s="1292"/>
      <c r="B140" s="1477">
        <f t="shared" ref="B140:B141" si="6">B139+1</f>
        <v>77</v>
      </c>
      <c r="C140" s="1285" t="s">
        <v>1280</v>
      </c>
      <c r="D140" s="68">
        <v>10.8</v>
      </c>
      <c r="E140" s="1489" t="str">
        <f>IFERROR(IF(OR(AND(D140&lt;&gt;"",D138=""),AND(D138&lt;&gt;"",D140=""),AND(D140&lt;&gt;"",D138&lt;&gt;"",D141="")),"Если лифты присутствуют, введите и количество, и мощность, и часы работы",""),"")</f>
        <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7.6" x14ac:dyDescent="0.3">
      <c r="A141" s="1292"/>
      <c r="B141" s="1477">
        <f t="shared" si="6"/>
        <v>78</v>
      </c>
      <c r="C141" s="1285" t="s">
        <v>1897</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3">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3">
      <c r="A143" s="1292"/>
      <c r="B143" s="1436"/>
      <c r="C143" s="1535" t="s">
        <v>1471</v>
      </c>
      <c r="D143" s="1535"/>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3">
      <c r="A144" s="1292"/>
      <c r="B144" s="1477">
        <f>B141+1</f>
        <v>79</v>
      </c>
      <c r="C144" s="1338" t="s">
        <v>1817</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3.2" x14ac:dyDescent="0.3">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3">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41.4" x14ac:dyDescent="0.3">
      <c r="A147" s="1292"/>
      <c r="B147" s="1477">
        <f t="shared" si="7"/>
        <v>82</v>
      </c>
      <c r="C147" s="1337" t="s">
        <v>1898</v>
      </c>
      <c r="D147" s="1342">
        <v>4512</v>
      </c>
      <c r="E147" s="1490" t="s">
        <v>1863</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28.8" x14ac:dyDescent="0.3">
      <c r="A148" s="1292"/>
      <c r="B148" s="1477">
        <f t="shared" si="7"/>
        <v>83</v>
      </c>
      <c r="C148" s="1338" t="s">
        <v>1520</v>
      </c>
      <c r="D148" s="1340">
        <v>1</v>
      </c>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3.2" x14ac:dyDescent="0.3">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3">
      <c r="A150" s="1292"/>
      <c r="B150" s="1477">
        <f t="shared" si="7"/>
        <v>85</v>
      </c>
      <c r="C150" s="1336" t="s">
        <v>1320</v>
      </c>
      <c r="D150" s="1341">
        <v>0.7</v>
      </c>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3">
      <c r="A151" s="1292"/>
      <c r="B151" s="1477">
        <f t="shared" si="7"/>
        <v>86</v>
      </c>
      <c r="C151" s="1337" t="s">
        <v>1898</v>
      </c>
      <c r="D151" s="1342">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28.8" x14ac:dyDescent="0.3">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3.2" x14ac:dyDescent="0.3">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3">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3">
      <c r="A155" s="1292"/>
      <c r="B155" s="1477">
        <f t="shared" si="7"/>
        <v>90</v>
      </c>
      <c r="C155" s="1337" t="s">
        <v>1898</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3">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3">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3">
      <c r="A158" s="1292"/>
      <c r="B158" s="1436"/>
      <c r="C158" s="1552" t="s">
        <v>1472</v>
      </c>
      <c r="D158" s="1552"/>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292"/>
      <c r="B159" s="1477">
        <f>B155+1</f>
        <v>91</v>
      </c>
      <c r="C159" s="1285" t="s">
        <v>1385</v>
      </c>
      <c r="D159" s="68"/>
      <c r="E159" s="1553"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3">
      <c r="A160" s="1292"/>
      <c r="B160" s="1477">
        <f>B159+1</f>
        <v>92</v>
      </c>
      <c r="C160" s="1328" t="s">
        <v>1899</v>
      </c>
      <c r="D160" s="68"/>
      <c r="E160" s="1554"/>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3">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 thickBot="1" x14ac:dyDescent="0.35">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 customHeight="1" thickBot="1" x14ac:dyDescent="0.35">
      <c r="A163" s="1292"/>
      <c r="B163" s="1476">
        <f>4/8</f>
        <v>0.5</v>
      </c>
      <c r="C163" s="1543" t="s">
        <v>1826</v>
      </c>
      <c r="D163" s="1543"/>
      <c r="E163" s="1543"/>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3">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3">
      <c r="A165" s="1292"/>
      <c r="B165" s="1477">
        <f>B160+1</f>
        <v>93</v>
      </c>
      <c r="C165" s="1346" t="s">
        <v>1820</v>
      </c>
      <c r="D165" s="1527"/>
      <c r="E165" s="1606"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292"/>
      <c r="B166" s="1477">
        <f>B165+1</f>
        <v>94</v>
      </c>
      <c r="C166" s="1347" t="s">
        <v>1819</v>
      </c>
      <c r="D166" s="1527"/>
      <c r="E166" s="160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3">
      <c r="A167" s="1292"/>
      <c r="B167" s="1477">
        <f t="shared" ref="B167:B168" si="8">B166+1</f>
        <v>95</v>
      </c>
      <c r="C167" s="1347" t="s">
        <v>1822</v>
      </c>
      <c r="D167" s="1527"/>
      <c r="E167" s="1607"/>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3.2" x14ac:dyDescent="0.3">
      <c r="A168" s="1292"/>
      <c r="B168" s="1477">
        <f t="shared" si="8"/>
        <v>96</v>
      </c>
      <c r="C168" s="1348" t="s">
        <v>1821</v>
      </c>
      <c r="D168" s="68"/>
      <c r="E168" s="1608"/>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3">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3">
      <c r="A171" s="1292"/>
      <c r="B171" s="1477"/>
      <c r="C171" s="1616" t="s">
        <v>1818</v>
      </c>
      <c r="D171" s="1617"/>
      <c r="E171" s="1606"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292"/>
      <c r="B172" s="1477">
        <v>97</v>
      </c>
      <c r="C172" s="1344" t="s">
        <v>992</v>
      </c>
      <c r="D172" s="68">
        <v>110</v>
      </c>
      <c r="E172" s="1607"/>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0.6" x14ac:dyDescent="0.3">
      <c r="A173" s="1292"/>
      <c r="B173" s="1477">
        <f t="shared" ref="B173" si="9">B172+1</f>
        <v>98</v>
      </c>
      <c r="C173" s="1344" t="s">
        <v>993</v>
      </c>
      <c r="D173" s="68">
        <v>70</v>
      </c>
      <c r="E173" s="1608"/>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3">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3">
      <c r="A176" s="1292"/>
      <c r="B176" s="1477"/>
      <c r="C176" s="1616" t="s">
        <v>994</v>
      </c>
      <c r="D176" s="1617"/>
      <c r="E176" s="1606"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292"/>
      <c r="B177" s="1477">
        <v>99</v>
      </c>
      <c r="C177" s="1286" t="s">
        <v>1823</v>
      </c>
      <c r="D177" s="69">
        <v>95</v>
      </c>
      <c r="E177" s="1607"/>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0.6" x14ac:dyDescent="0.3">
      <c r="A178" s="1292"/>
      <c r="B178" s="1477">
        <f t="shared" ref="B178" si="10">B177+1</f>
        <v>100</v>
      </c>
      <c r="C178" s="1286" t="s">
        <v>1824</v>
      </c>
      <c r="D178" s="69">
        <v>70</v>
      </c>
      <c r="E178" s="1608"/>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3">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3">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3">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3">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3">
      <c r="A183" s="1292"/>
      <c r="B183" s="1475"/>
      <c r="C183" s="1613" t="s">
        <v>1830</v>
      </c>
      <c r="D183" s="1613"/>
      <c r="E183" s="1613"/>
      <c r="F183" s="1613"/>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 customHeight="1" x14ac:dyDescent="0.3">
      <c r="A184" s="1292"/>
      <c r="B184" s="1475"/>
      <c r="C184" s="1585" t="s">
        <v>995</v>
      </c>
      <c r="D184" s="1611" t="s">
        <v>996</v>
      </c>
      <c r="E184" s="1612"/>
      <c r="F184" s="1612"/>
      <c r="G184" s="74"/>
      <c r="H184" s="74"/>
      <c r="I184" s="74"/>
      <c r="J184" s="1610" t="s">
        <v>1528</v>
      </c>
      <c r="K184" s="1610"/>
      <c r="L184" s="18"/>
      <c r="M184" s="18"/>
      <c r="N184" s="18"/>
      <c r="O184" s="18"/>
      <c r="P184" s="18"/>
      <c r="Q184" s="18"/>
      <c r="R184" s="18"/>
      <c r="S184" s="18"/>
      <c r="T184" s="18"/>
      <c r="U184" s="18"/>
      <c r="V184" s="18"/>
      <c r="W184" s="18"/>
      <c r="X184" s="18"/>
      <c r="Y184" s="18"/>
      <c r="Z184" s="18"/>
    </row>
    <row r="185" spans="1:26" s="8" customFormat="1" ht="46.8" x14ac:dyDescent="0.3">
      <c r="A185" s="1292"/>
      <c r="B185" s="1475"/>
      <c r="C185" s="1585"/>
      <c r="D185" s="1349" t="s">
        <v>1829</v>
      </c>
      <c r="E185" s="1349" t="s">
        <v>1828</v>
      </c>
      <c r="F185" s="1349" t="s">
        <v>1827</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3">
      <c r="A186" s="1292"/>
      <c r="B186" s="1477">
        <f>B178+1</f>
        <v>101</v>
      </c>
      <c r="C186" s="1351" t="s">
        <v>488</v>
      </c>
      <c r="D186" s="1514">
        <v>227.79599999999999</v>
      </c>
      <c r="E186" s="1514"/>
      <c r="F186" s="1514"/>
      <c r="G186" s="1544"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197.97111899999999</v>
      </c>
      <c r="K186" s="1444">
        <f>IF('Система ГВС'!F3=2,0,IF(F186=0,(F206*(1+IF($C$107=списки!$Y$54,'Расчет базового уровня'!$D$176,0))*($D$107-IF(F252&gt;150,$D$108,$D$109))+E206*$D$113)/1000,F186))</f>
        <v>29.824880999999994</v>
      </c>
      <c r="L186" s="18"/>
      <c r="M186" s="18"/>
      <c r="N186" s="18"/>
      <c r="O186" s="18"/>
      <c r="P186" s="18"/>
      <c r="Q186" s="18"/>
      <c r="R186" s="18"/>
      <c r="S186" s="18"/>
      <c r="T186" s="18"/>
      <c r="U186" s="18"/>
      <c r="V186" s="18"/>
      <c r="W186" s="18"/>
      <c r="X186" s="18"/>
      <c r="Y186" s="18"/>
      <c r="Z186" s="18"/>
    </row>
    <row r="187" spans="1:26" s="8" customFormat="1" ht="15" customHeight="1" x14ac:dyDescent="0.3">
      <c r="A187" s="1292"/>
      <c r="B187" s="1477">
        <f>B186+1</f>
        <v>102</v>
      </c>
      <c r="C187" s="1352" t="s">
        <v>489</v>
      </c>
      <c r="D187" s="1515">
        <v>185.29400000000001</v>
      </c>
      <c r="E187" s="1515"/>
      <c r="F187" s="1515"/>
      <c r="G187" s="1544"/>
      <c r="H187" s="74"/>
      <c r="I187" s="74"/>
      <c r="J187" s="1443">
        <f t="shared" ref="J187:J197" si="11">IF(E187="",D187-K187,E187)</f>
        <v>156.422258</v>
      </c>
      <c r="K187" s="1444">
        <f>IF('Система ГВС'!F4=2,0,IF(F187=0,(F207*(1+IF($C$107=списки!$Y$54,'Расчет базового уровня'!$D$176,0))*($D$107-IF(F253&gt;150,$D$108,$D$109))+E207*$D$113)/1000,F187))</f>
        <v>28.871741999999998</v>
      </c>
      <c r="L187" s="18"/>
      <c r="M187" s="18"/>
      <c r="N187" s="18"/>
      <c r="O187" s="18"/>
      <c r="P187" s="18"/>
      <c r="Q187" s="18"/>
      <c r="R187" s="18"/>
      <c r="S187" s="18"/>
      <c r="T187" s="18"/>
      <c r="U187" s="18"/>
      <c r="V187" s="18"/>
      <c r="W187" s="18"/>
      <c r="X187" s="18"/>
      <c r="Y187" s="18"/>
      <c r="Z187" s="18"/>
    </row>
    <row r="188" spans="1:26" s="8" customFormat="1" ht="15" customHeight="1" x14ac:dyDescent="0.3">
      <c r="A188" s="1292"/>
      <c r="B188" s="1477">
        <f t="shared" ref="B188:B197" si="12">B187+1</f>
        <v>103</v>
      </c>
      <c r="C188" s="1352" t="s">
        <v>490</v>
      </c>
      <c r="D188" s="1515">
        <v>197.86699999999999</v>
      </c>
      <c r="E188" s="1515"/>
      <c r="F188" s="1515"/>
      <c r="G188" s="1544"/>
      <c r="H188" s="74"/>
      <c r="I188" s="74"/>
      <c r="J188" s="1443">
        <f t="shared" si="11"/>
        <v>170.63786599999997</v>
      </c>
      <c r="K188" s="1444">
        <f>IF('Система ГВС'!F5=2,0,IF(F188=0,(F208*(1+IF($C$107=списки!$Y$54,'Расчет базового уровня'!$D$176,0))*($D$107-IF(F254&gt;150,$D$108,$D$109))+E208*$D$113)/1000,F188))</f>
        <v>27.229134000000002</v>
      </c>
      <c r="L188" s="18"/>
      <c r="M188" s="18"/>
      <c r="N188" s="18"/>
      <c r="O188" s="18"/>
      <c r="P188" s="18"/>
      <c r="Q188" s="18"/>
      <c r="R188" s="18"/>
      <c r="S188" s="18"/>
      <c r="T188" s="18"/>
      <c r="U188" s="18"/>
      <c r="V188" s="18"/>
      <c r="W188" s="18"/>
      <c r="X188" s="18"/>
      <c r="Y188" s="18"/>
      <c r="Z188" s="18"/>
    </row>
    <row r="189" spans="1:26" s="8" customFormat="1" ht="15" customHeight="1" x14ac:dyDescent="0.3">
      <c r="A189" s="1292"/>
      <c r="B189" s="1477">
        <f t="shared" si="12"/>
        <v>104</v>
      </c>
      <c r="C189" s="1352" t="s">
        <v>491</v>
      </c>
      <c r="D189" s="1515">
        <v>128.85</v>
      </c>
      <c r="E189" s="1515"/>
      <c r="F189" s="1515"/>
      <c r="G189" s="1544"/>
      <c r="H189" s="74"/>
      <c r="I189" s="74"/>
      <c r="J189" s="1443">
        <f t="shared" si="11"/>
        <v>100.430424</v>
      </c>
      <c r="K189" s="1444">
        <f>IF('Система ГВС'!F6=2,0,IF(F189=0,(F209*(1+IF($C$107=списки!$Y$54,'Расчет базового уровня'!$D$176,0))*($D$107-IF(F255&gt;150,$D$108,$D$109))+E209*$D$113)/1000,F189))</f>
        <v>28.419575999999996</v>
      </c>
      <c r="L189" s="18"/>
      <c r="M189" s="18"/>
      <c r="N189" s="18"/>
      <c r="O189" s="18"/>
      <c r="P189" s="18"/>
      <c r="Q189" s="18"/>
      <c r="R189" s="18"/>
      <c r="S189" s="18"/>
      <c r="T189" s="18"/>
      <c r="U189" s="18"/>
      <c r="V189" s="18"/>
      <c r="W189" s="18"/>
      <c r="X189" s="18"/>
      <c r="Y189" s="18"/>
      <c r="Z189" s="18"/>
    </row>
    <row r="190" spans="1:26" s="8" customFormat="1" ht="15" customHeight="1" x14ac:dyDescent="0.3">
      <c r="A190" s="1292"/>
      <c r="B190" s="1477">
        <f t="shared" si="12"/>
        <v>105</v>
      </c>
      <c r="C190" s="1352" t="s">
        <v>805</v>
      </c>
      <c r="D190" s="1515">
        <v>41.085999999999999</v>
      </c>
      <c r="E190" s="1515"/>
      <c r="F190" s="1515"/>
      <c r="G190" s="1544"/>
      <c r="H190" s="74"/>
      <c r="I190" s="74"/>
      <c r="J190" s="1443">
        <f t="shared" si="11"/>
        <v>7.6938219999999973</v>
      </c>
      <c r="K190" s="1444">
        <f>IF('Система ГВС'!F7=2,0,IF(F190=0,(F210*(1+IF($C$107=списки!$Y$54,'Расчет базового уровня'!$D$176,0))*($D$107-IF(F256&gt;150,$D$108,$D$109))+E210*$D$113)/1000,F190))</f>
        <v>33.392178000000001</v>
      </c>
      <c r="L190" s="18"/>
      <c r="M190" s="18"/>
      <c r="N190" s="18"/>
      <c r="O190" s="18"/>
      <c r="P190" s="18"/>
      <c r="Q190" s="18"/>
      <c r="R190" s="18"/>
      <c r="S190" s="18"/>
      <c r="T190" s="18"/>
      <c r="U190" s="18"/>
      <c r="V190" s="18"/>
      <c r="W190" s="18"/>
      <c r="X190" s="18"/>
      <c r="Y190" s="18"/>
      <c r="Z190" s="18"/>
    </row>
    <row r="191" spans="1:26" s="8" customFormat="1" ht="15" customHeight="1" x14ac:dyDescent="0.3">
      <c r="A191" s="1292"/>
      <c r="B191" s="1477">
        <f t="shared" si="12"/>
        <v>106</v>
      </c>
      <c r="C191" s="1352" t="s">
        <v>806</v>
      </c>
      <c r="D191" s="1515">
        <v>36.146999999999998</v>
      </c>
      <c r="E191" s="1515"/>
      <c r="F191" s="1515"/>
      <c r="G191" s="1544"/>
      <c r="H191" s="74"/>
      <c r="I191" s="74"/>
      <c r="J191" s="1443">
        <f t="shared" si="11"/>
        <v>6.3552180000000007</v>
      </c>
      <c r="K191" s="1444">
        <f>IF('Система ГВС'!F8=2,0,IF(F191=0,(F211*(1+IF($C$107=списки!$Y$54,'Расчет базового уровня'!$D$176,0))*($D$107-IF(F257&gt;150,$D$108,$D$109))+E211*$D$113)/1000,F191))</f>
        <v>29.791781999999998</v>
      </c>
      <c r="L191" s="18"/>
      <c r="M191" s="18"/>
      <c r="N191" s="18"/>
      <c r="O191" s="18"/>
      <c r="P191" s="18"/>
      <c r="Q191" s="18"/>
      <c r="R191" s="18"/>
      <c r="S191" s="18"/>
      <c r="T191" s="18"/>
      <c r="U191" s="18"/>
      <c r="V191" s="18"/>
      <c r="W191" s="18"/>
      <c r="X191" s="18"/>
      <c r="Y191" s="18"/>
      <c r="Z191" s="18"/>
    </row>
    <row r="192" spans="1:26" s="8" customFormat="1" ht="15" customHeight="1" x14ac:dyDescent="0.3">
      <c r="A192" s="1292"/>
      <c r="B192" s="1477">
        <f t="shared" si="12"/>
        <v>107</v>
      </c>
      <c r="C192" s="1352" t="s">
        <v>807</v>
      </c>
      <c r="D192" s="1515">
        <v>37.762</v>
      </c>
      <c r="E192" s="1515"/>
      <c r="F192" s="1515"/>
      <c r="G192" s="1544"/>
      <c r="H192" s="74"/>
      <c r="I192" s="74"/>
      <c r="J192" s="1443">
        <f t="shared" si="11"/>
        <v>9.4743610000000018</v>
      </c>
      <c r="K192" s="1444">
        <f>IF('Система ГВС'!F9=2,0,IF(F192=0,(F212*(1+IF($C$107=списки!$Y$54,'Расчет базового уровня'!$D$176,0))*($D$107-IF(F258&gt;150,$D$108,$D$109))+E212*$D$113)/1000,F192))</f>
        <v>28.287638999999999</v>
      </c>
      <c r="L192" s="18"/>
      <c r="M192" s="18"/>
      <c r="N192" s="18"/>
      <c r="O192" s="18"/>
      <c r="P192" s="18"/>
      <c r="Q192" s="18"/>
      <c r="R192" s="18"/>
      <c r="S192" s="18"/>
      <c r="T192" s="18"/>
      <c r="U192" s="18"/>
      <c r="V192" s="18"/>
      <c r="W192" s="18"/>
      <c r="X192" s="18"/>
      <c r="Y192" s="18"/>
      <c r="Z192" s="18"/>
    </row>
    <row r="193" spans="1:34" s="8" customFormat="1" ht="15" customHeight="1" x14ac:dyDescent="0.3">
      <c r="A193" s="1292"/>
      <c r="B193" s="1477">
        <f t="shared" si="12"/>
        <v>108</v>
      </c>
      <c r="C193" s="1352" t="s">
        <v>808</v>
      </c>
      <c r="D193" s="1515">
        <v>38.83</v>
      </c>
      <c r="E193" s="1515"/>
      <c r="F193" s="1515"/>
      <c r="G193" s="1544"/>
      <c r="H193" s="74"/>
      <c r="I193" s="74"/>
      <c r="J193" s="1443">
        <f t="shared" si="11"/>
        <v>13.785654999999998</v>
      </c>
      <c r="K193" s="1444">
        <f>IF('Система ГВС'!F10=2,0,IF(F193=0,(F213*(1+IF($C$107=списки!$Y$54,'Расчет базового уровня'!$D$176,0))*($D$107-IF(F259&gt;150,$D$108,$D$109))+E213*$D$113)/1000,F193))</f>
        <v>25.044345</v>
      </c>
      <c r="L193" s="18"/>
      <c r="M193" s="18"/>
      <c r="N193" s="18"/>
      <c r="O193" s="18"/>
      <c r="P193" s="18"/>
      <c r="Q193" s="18"/>
      <c r="R193" s="18"/>
      <c r="S193" s="18"/>
      <c r="T193" s="18"/>
      <c r="U193" s="18"/>
      <c r="V193" s="18"/>
      <c r="W193" s="18"/>
      <c r="X193" s="18"/>
      <c r="Y193" s="18"/>
      <c r="Z193" s="18"/>
    </row>
    <row r="194" spans="1:34" s="8" customFormat="1" ht="15" customHeight="1" x14ac:dyDescent="0.3">
      <c r="A194" s="1292"/>
      <c r="B194" s="1477">
        <f t="shared" si="12"/>
        <v>109</v>
      </c>
      <c r="C194" s="1352" t="s">
        <v>809</v>
      </c>
      <c r="D194" s="1515">
        <v>38.83</v>
      </c>
      <c r="E194" s="1515"/>
      <c r="F194" s="1515"/>
      <c r="G194" s="1544"/>
      <c r="H194" s="74"/>
      <c r="I194" s="74"/>
      <c r="J194" s="1443">
        <f t="shared" si="11"/>
        <v>12.144729999999999</v>
      </c>
      <c r="K194" s="1444">
        <f>IF('Система ГВС'!F11=2,0,IF(F194=0,(F214*(1+IF($C$107=списки!$Y$54,'Расчет базового уровня'!$D$176,0))*($D$107-IF(F260&gt;150,$D$108,$D$109))+E214*$D$113)/1000,F194))</f>
        <v>26.685269999999999</v>
      </c>
      <c r="L194" s="18"/>
      <c r="M194" s="18"/>
      <c r="N194" s="18"/>
      <c r="O194" s="18"/>
      <c r="P194" s="18"/>
      <c r="Q194" s="18"/>
      <c r="R194" s="18"/>
      <c r="S194" s="18"/>
      <c r="T194" s="18"/>
      <c r="U194" s="18"/>
      <c r="V194" s="18"/>
      <c r="W194" s="18"/>
      <c r="X194" s="18"/>
      <c r="Y194" s="18"/>
      <c r="Z194" s="18"/>
    </row>
    <row r="195" spans="1:34" s="8" customFormat="1" ht="15" customHeight="1" x14ac:dyDescent="0.3">
      <c r="A195" s="1292"/>
      <c r="B195" s="1477">
        <f t="shared" si="12"/>
        <v>110</v>
      </c>
      <c r="C195" s="1352" t="s">
        <v>482</v>
      </c>
      <c r="D195" s="1515">
        <v>83.570999999999998</v>
      </c>
      <c r="E195" s="1515"/>
      <c r="F195" s="1515"/>
      <c r="G195" s="1544"/>
      <c r="H195" s="74"/>
      <c r="I195" s="74"/>
      <c r="J195" s="1443">
        <f t="shared" si="11"/>
        <v>57.967082999999995</v>
      </c>
      <c r="K195" s="1444">
        <f>IF('Система ГВС'!F12=2,0,IF(F195=0,(F215*(1+IF($C$107=списки!$Y$54,'Расчет базового уровня'!$D$176,0))*($D$107-IF(F261&gt;150,$D$108,$D$109))+E215*$D$113)/1000,F195))</f>
        <v>25.603917000000003</v>
      </c>
      <c r="L195" s="18"/>
      <c r="M195" s="18"/>
      <c r="N195" s="18"/>
      <c r="O195" s="18"/>
      <c r="P195" s="18"/>
      <c r="Q195" s="18"/>
      <c r="R195" s="18"/>
      <c r="S195" s="18"/>
      <c r="T195" s="18"/>
      <c r="U195" s="18"/>
      <c r="V195" s="18"/>
      <c r="W195" s="18"/>
      <c r="X195" s="18"/>
      <c r="Y195" s="18"/>
      <c r="Z195" s="18"/>
    </row>
    <row r="196" spans="1:34" s="8" customFormat="1" ht="15" customHeight="1" x14ac:dyDescent="0.3">
      <c r="A196" s="1292"/>
      <c r="B196" s="1477">
        <f t="shared" si="12"/>
        <v>111</v>
      </c>
      <c r="C196" s="1352" t="s">
        <v>486</v>
      </c>
      <c r="D196" s="1515">
        <v>201.828</v>
      </c>
      <c r="E196" s="1515"/>
      <c r="F196" s="1515"/>
      <c r="G196" s="1544"/>
      <c r="H196" s="74"/>
      <c r="I196" s="74"/>
      <c r="J196" s="1443">
        <f t="shared" si="11"/>
        <v>174.94893000000002</v>
      </c>
      <c r="K196" s="1444">
        <f>IF('Система ГВС'!F13=2,0,IF(F196=0,(F216*(1+IF($C$107=списки!$Y$54,'Расчет базового уровня'!$D$176,0))*($D$107-IF(F262&gt;150,$D$108,$D$109))+E216*$D$113)/1000,F196))</f>
        <v>26.879069999999995</v>
      </c>
      <c r="L196" s="18"/>
      <c r="M196" s="18"/>
      <c r="N196" s="18"/>
      <c r="O196" s="18"/>
      <c r="P196" s="18"/>
      <c r="Q196" s="18"/>
      <c r="R196" s="18"/>
      <c r="S196" s="18"/>
      <c r="T196" s="18"/>
      <c r="U196" s="18"/>
      <c r="V196" s="18"/>
      <c r="W196" s="18"/>
      <c r="X196" s="18"/>
      <c r="Y196" s="18"/>
      <c r="Z196" s="18"/>
    </row>
    <row r="197" spans="1:34" s="8" customFormat="1" ht="15" customHeight="1" x14ac:dyDescent="0.3">
      <c r="A197" s="1292"/>
      <c r="B197" s="1477">
        <f t="shared" si="12"/>
        <v>112</v>
      </c>
      <c r="C197" s="1353" t="s">
        <v>487</v>
      </c>
      <c r="D197" s="1516">
        <v>193.95400000000001</v>
      </c>
      <c r="E197" s="1516"/>
      <c r="F197" s="1516"/>
      <c r="G197" s="1544"/>
      <c r="H197" s="74"/>
      <c r="I197" s="74"/>
      <c r="J197" s="1443">
        <f t="shared" si="11"/>
        <v>167.320087</v>
      </c>
      <c r="K197" s="1444">
        <f>IF('Система ГВС'!F14=2,0,IF(F197=0,(F217*(1+IF($C$107=списки!$Y$54,'Расчет базового уровня'!$D$176,0))*($D$107-IF(F263&gt;150,$D$108,$D$109))+E217*$D$113)/1000,F197))</f>
        <v>26.633913</v>
      </c>
      <c r="L197" s="18"/>
      <c r="M197" s="18"/>
      <c r="N197" s="18"/>
      <c r="O197" s="18"/>
      <c r="P197" s="18"/>
      <c r="Q197" s="18"/>
      <c r="R197" s="18"/>
      <c r="S197" s="18"/>
      <c r="T197" s="18"/>
      <c r="U197" s="18"/>
      <c r="V197" s="18"/>
      <c r="W197" s="18"/>
      <c r="X197" s="18"/>
      <c r="Y197" s="18"/>
      <c r="Z197" s="18"/>
    </row>
    <row r="198" spans="1:34" s="8" customFormat="1" ht="15" customHeight="1" x14ac:dyDescent="0.3">
      <c r="A198" s="1292"/>
      <c r="B198" s="1475"/>
      <c r="C198" s="1350" t="s">
        <v>1000</v>
      </c>
      <c r="D198" s="1431">
        <v>1411.8150000000003</v>
      </c>
      <c r="E198" s="1431">
        <v>0</v>
      </c>
      <c r="F198" s="1431">
        <v>0</v>
      </c>
      <c r="G198" s="74"/>
      <c r="H198" s="74"/>
      <c r="I198" s="74"/>
      <c r="J198" s="1445">
        <f>IF(E198=0,D198-K198,E198)</f>
        <v>1074.0893563846157</v>
      </c>
      <c r="K198" s="1444">
        <f>IF('Система ГВС'!F15=2,0,IF(F198=0,(F218*(1+IF($C$107=списки!$Y$54,'Расчет базового уровня'!$D$176,0))*($D$107-'Расчет после реализации'!E173)+E218*$D$113)/1000,F198))</f>
        <v>337.72564361538457</v>
      </c>
      <c r="L198" s="18"/>
      <c r="M198" s="18"/>
      <c r="N198" s="18"/>
      <c r="O198" s="18"/>
      <c r="P198" s="18"/>
      <c r="Q198" s="18"/>
      <c r="R198" s="18"/>
      <c r="S198" s="18"/>
      <c r="T198" s="18"/>
      <c r="U198" s="18"/>
      <c r="V198" s="18"/>
      <c r="W198" s="18"/>
      <c r="X198" s="18"/>
      <c r="Y198" s="18"/>
      <c r="Z198" s="18"/>
    </row>
    <row r="199" spans="1:34" s="8" customFormat="1" x14ac:dyDescent="0.3">
      <c r="A199" s="1292"/>
      <c r="B199" s="1475"/>
      <c r="C199" s="10"/>
      <c r="D199" s="10"/>
      <c r="E199" s="10"/>
      <c r="F199" s="1284">
        <f>F218*55*1.3</f>
        <v>271359.76724999998</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3">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3">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 x14ac:dyDescent="0.35">
      <c r="A202" s="1292"/>
      <c r="B202" s="1475"/>
      <c r="C202" s="1609" t="str">
        <f>IF('Система ГВС'!F3=2,"Таблицу ниже можно не заполнять, т.к. в поле 59 выбрана децентрализованная система ГВС.","")</f>
        <v/>
      </c>
      <c r="D202" s="1609"/>
      <c r="E202" s="1609"/>
      <c r="F202" s="1609"/>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3">
      <c r="A203" s="1292"/>
      <c r="B203" s="1475"/>
      <c r="C203" s="1613" t="s">
        <v>1835</v>
      </c>
      <c r="D203" s="1613"/>
      <c r="E203" s="1613"/>
      <c r="F203" s="1613"/>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3">
      <c r="A204" s="1292"/>
      <c r="B204" s="1475"/>
      <c r="C204" s="1585" t="s">
        <v>995</v>
      </c>
      <c r="D204" s="1586" t="s">
        <v>1001</v>
      </c>
      <c r="E204" s="1587"/>
      <c r="F204" s="1588"/>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5" x14ac:dyDescent="0.3">
      <c r="A205" s="1292"/>
      <c r="B205" s="1475"/>
      <c r="C205" s="1585"/>
      <c r="D205" s="1345" t="s">
        <v>1831</v>
      </c>
      <c r="E205" s="1355" t="s">
        <v>1832</v>
      </c>
      <c r="F205" s="1349" t="s">
        <v>1833</v>
      </c>
      <c r="G205" s="1614"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расход ТЭ в летние месяцы сильно отличается от теоретического на основе введенного водоразбора. Стоит обратиться в поддержку</v>
      </c>
      <c r="H205" s="1615"/>
      <c r="I205" s="1615"/>
      <c r="J205" s="1615"/>
      <c r="K205" s="1615"/>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292"/>
      <c r="B206" s="1477">
        <f>B197+1</f>
        <v>113</v>
      </c>
      <c r="C206" s="1351" t="s">
        <v>488</v>
      </c>
      <c r="D206" s="1514">
        <v>3315.5284999999999</v>
      </c>
      <c r="E206" s="1514">
        <v>3000</v>
      </c>
      <c r="F206" s="1514">
        <v>315.52849999999995</v>
      </c>
      <c r="G206" s="1596"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-38%.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H206" s="1596"/>
      <c r="I206" s="1597"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97"/>
      <c r="K206" s="1597"/>
      <c r="L206" s="1441">
        <f>$F$218/365/$D$22*1000</f>
        <v>37.402596826648264</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292"/>
      <c r="B207" s="1477">
        <f>B206+1</f>
        <v>114</v>
      </c>
      <c r="C207" s="1352" t="s">
        <v>489</v>
      </c>
      <c r="D207" s="1515">
        <v>3301.087</v>
      </c>
      <c r="E207" s="1515">
        <v>3000</v>
      </c>
      <c r="F207" s="1515">
        <v>301.08699999999999</v>
      </c>
      <c r="G207" s="1596"/>
      <c r="H207" s="1596"/>
      <c r="I207" s="1597"/>
      <c r="J207" s="1597"/>
      <c r="K207" s="1597"/>
      <c r="L207" s="1441">
        <f>SUMPRODUCT('Система ГВС'!$D$5:$D$9,'Система ГВС'!$E$5:$E$9)*(1-0.4*$D$21/$D$20)</f>
        <v>60.3</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292"/>
      <c r="B208" s="1477">
        <f t="shared" ref="B208:B217" si="13">B207+1</f>
        <v>115</v>
      </c>
      <c r="C208" s="1352" t="s">
        <v>490</v>
      </c>
      <c r="D208" s="1515">
        <v>3276.1990000000001</v>
      </c>
      <c r="E208" s="1515">
        <v>3000</v>
      </c>
      <c r="F208" s="1515">
        <v>276.19900000000001</v>
      </c>
      <c r="G208" s="1596"/>
      <c r="H208" s="1596"/>
      <c r="I208" s="1597"/>
      <c r="J208" s="1597"/>
      <c r="K208" s="1597"/>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292"/>
      <c r="B209" s="1477">
        <f t="shared" si="13"/>
        <v>116</v>
      </c>
      <c r="C209" s="1352" t="s">
        <v>491</v>
      </c>
      <c r="D209" s="1515">
        <v>3294.2359999999999</v>
      </c>
      <c r="E209" s="1515">
        <v>3000</v>
      </c>
      <c r="F209" s="1515">
        <v>294.23599999999999</v>
      </c>
      <c r="G209" s="1596"/>
      <c r="H209" s="1596"/>
      <c r="I209" s="1597"/>
      <c r="J209" s="1597"/>
      <c r="K209" s="1597"/>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292"/>
      <c r="B210" s="1477">
        <f t="shared" si="13"/>
        <v>117</v>
      </c>
      <c r="C210" s="1352" t="s">
        <v>805</v>
      </c>
      <c r="D210" s="1515">
        <v>3451.7069999999999</v>
      </c>
      <c r="E210" s="1515">
        <v>3000</v>
      </c>
      <c r="F210" s="1515">
        <v>451.70699999999994</v>
      </c>
      <c r="G210" s="1596"/>
      <c r="H210" s="1596"/>
      <c r="I210" s="1597"/>
      <c r="J210" s="1597"/>
      <c r="K210" s="1597"/>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292"/>
      <c r="B211" s="1477">
        <f t="shared" si="13"/>
        <v>118</v>
      </c>
      <c r="C211" s="1352" t="s">
        <v>806</v>
      </c>
      <c r="D211" s="1515">
        <v>3385.0329999999999</v>
      </c>
      <c r="E211" s="1515">
        <v>3000</v>
      </c>
      <c r="F211" s="1515">
        <v>385.03300000000002</v>
      </c>
      <c r="G211" s="1596"/>
      <c r="H211" s="1596"/>
      <c r="I211" s="1597"/>
      <c r="J211" s="1597"/>
      <c r="K211" s="1597"/>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292"/>
      <c r="B212" s="1477">
        <f t="shared" si="13"/>
        <v>119</v>
      </c>
      <c r="C212" s="1352" t="s">
        <v>807</v>
      </c>
      <c r="D212" s="1515">
        <v>3357.1785</v>
      </c>
      <c r="E212" s="1515">
        <v>3000</v>
      </c>
      <c r="F212" s="1515">
        <v>357.17849999999999</v>
      </c>
      <c r="G212" s="1596"/>
      <c r="H212" s="1596"/>
      <c r="I212" s="1597"/>
      <c r="J212" s="1597"/>
      <c r="K212" s="1597"/>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292"/>
      <c r="B213" s="1477">
        <f t="shared" si="13"/>
        <v>120</v>
      </c>
      <c r="C213" s="1352" t="s">
        <v>808</v>
      </c>
      <c r="D213" s="1515">
        <v>3297.1174999999998</v>
      </c>
      <c r="E213" s="1515">
        <v>3000</v>
      </c>
      <c r="F213" s="1515">
        <v>297.11750000000001</v>
      </c>
      <c r="G213" s="1596"/>
      <c r="H213" s="1596"/>
      <c r="I213" s="1597"/>
      <c r="J213" s="1597"/>
      <c r="K213" s="1597"/>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292"/>
      <c r="B214" s="1477">
        <f t="shared" si="13"/>
        <v>121</v>
      </c>
      <c r="C214" s="1352" t="s">
        <v>809</v>
      </c>
      <c r="D214" s="1515">
        <v>3327.5050000000001</v>
      </c>
      <c r="E214" s="1515">
        <v>3000</v>
      </c>
      <c r="F214" s="1515">
        <v>327.505</v>
      </c>
      <c r="G214" s="1596"/>
      <c r="H214" s="1596"/>
      <c r="I214" s="1597"/>
      <c r="J214" s="1597"/>
      <c r="K214" s="1597"/>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292"/>
      <c r="B215" s="1477">
        <f t="shared" si="13"/>
        <v>122</v>
      </c>
      <c r="C215" s="1352" t="s">
        <v>482</v>
      </c>
      <c r="D215" s="1515">
        <v>3251.5745000000002</v>
      </c>
      <c r="E215" s="1515">
        <v>3000</v>
      </c>
      <c r="F215" s="1515">
        <v>251.57450000000003</v>
      </c>
      <c r="G215" s="1596"/>
      <c r="H215" s="1596"/>
      <c r="I215" s="1597"/>
      <c r="J215" s="1597"/>
      <c r="K215" s="1597"/>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292"/>
      <c r="B216" s="1477">
        <f t="shared" si="13"/>
        <v>123</v>
      </c>
      <c r="C216" s="1352" t="s">
        <v>486</v>
      </c>
      <c r="D216" s="1515">
        <v>3270.895</v>
      </c>
      <c r="E216" s="1515">
        <v>3000</v>
      </c>
      <c r="F216" s="1515">
        <v>270.89499999999998</v>
      </c>
      <c r="G216" s="1596"/>
      <c r="H216" s="1596"/>
      <c r="I216" s="1597"/>
      <c r="J216" s="1597"/>
      <c r="K216" s="1597"/>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292"/>
      <c r="B217" s="1477">
        <f t="shared" si="13"/>
        <v>124</v>
      </c>
      <c r="C217" s="1353" t="s">
        <v>487</v>
      </c>
      <c r="D217" s="1516">
        <v>3267.1804999999999</v>
      </c>
      <c r="E217" s="1516">
        <v>3000</v>
      </c>
      <c r="F217" s="1516">
        <v>267.18049999999999</v>
      </c>
      <c r="G217" s="1596"/>
      <c r="H217" s="1596"/>
      <c r="I217" s="1597"/>
      <c r="J217" s="1597"/>
      <c r="K217" s="1597"/>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3">
      <c r="A218" s="1292"/>
      <c r="B218" s="1475"/>
      <c r="C218" s="1350" t="s">
        <v>1000</v>
      </c>
      <c r="D218" s="1431">
        <v>39795.241499999996</v>
      </c>
      <c r="E218" s="1431">
        <v>36000</v>
      </c>
      <c r="F218" s="1432">
        <v>3795.2414999999996</v>
      </c>
      <c r="G218" s="1596"/>
      <c r="H218" s="1596"/>
      <c r="I218" s="1597"/>
      <c r="J218" s="1597"/>
      <c r="K218" s="1597"/>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3">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3">
      <c r="A220" s="1292"/>
      <c r="B220" s="1475"/>
      <c r="C220" s="1613" t="s">
        <v>1834</v>
      </c>
      <c r="D220" s="1613"/>
      <c r="E220" s="1613"/>
      <c r="F220" s="1613"/>
      <c r="G220" s="1613"/>
      <c r="H220" s="1613"/>
      <c r="I220" s="1613"/>
      <c r="J220" s="1613"/>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3">
      <c r="A221" s="1292"/>
      <c r="B221" s="1475"/>
      <c r="C221" s="1589" t="s">
        <v>995</v>
      </c>
      <c r="D221" s="1590" t="s">
        <v>1604</v>
      </c>
      <c r="E221" s="1592" t="s">
        <v>1341</v>
      </c>
      <c r="F221" s="1593" t="s">
        <v>1344</v>
      </c>
      <c r="G221" s="1594"/>
      <c r="H221" s="1594"/>
      <c r="I221" s="1594"/>
      <c r="J221" s="1595"/>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3">
      <c r="A222" s="1292"/>
      <c r="B222" s="1475"/>
      <c r="C222" s="1589"/>
      <c r="D222" s="1591"/>
      <c r="E222" s="1590"/>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3">
      <c r="A223" s="1292"/>
      <c r="B223" s="1477">
        <f>B217+1</f>
        <v>125</v>
      </c>
      <c r="C223" s="1352" t="s">
        <v>488</v>
      </c>
      <c r="D223" s="1514"/>
      <c r="E223" s="1514"/>
      <c r="F223" s="1514">
        <v>1.8959999999999999</v>
      </c>
      <c r="G223" s="1505"/>
      <c r="H223" s="1505"/>
      <c r="I223" s="1505"/>
      <c r="J223" s="1502"/>
      <c r="K223" s="1605" t="s">
        <v>1605</v>
      </c>
      <c r="L223" s="1605"/>
      <c r="M223" s="74"/>
      <c r="N223" s="74"/>
      <c r="O223" s="74"/>
      <c r="P223" s="1467">
        <f>SUM(Q223:S223,W223)</f>
        <v>3.0601000000000003</v>
      </c>
      <c r="Q223" s="1468">
        <f>($G$131*$H$131*$D$131+$H$132*$G$132*$D$132+$H$133*$G$133*$D$133+$H$134*$G$134*$D$134+$H$135*$G$135*$D$135)/12/1000000</f>
        <v>0.55930000000000002</v>
      </c>
      <c r="R223" s="1468">
        <f>$D$140*$D$141/1000/12</f>
        <v>1.9800000000000002</v>
      </c>
      <c r="S223" s="1469">
        <f>SUM(T223:V223)</f>
        <v>0.52079999999999993</v>
      </c>
      <c r="T223" s="1469">
        <f>$D$146*'Расчет базового уровня'!$G$146*24/1000</f>
        <v>0</v>
      </c>
      <c r="U223" s="1469">
        <f>$D$150*'Расчет базового уровня'!$G$170*24/1000</f>
        <v>0.52079999999999993</v>
      </c>
      <c r="V223" s="1469">
        <f>$D$154*'Расчет базового уровня'!$G$165*24/1000</f>
        <v>0</v>
      </c>
      <c r="W223" s="1470">
        <f>$D$159*$D$160/12/1000</f>
        <v>0</v>
      </c>
      <c r="X223" s="1471"/>
      <c r="Y223" s="1467">
        <f>SUM(Z223:AB223,AF223)</f>
        <v>1.8959999999999999</v>
      </c>
      <c r="Z223" s="1468">
        <f>IF(G223=0,IFERROR($F223*Q223/$P223,0),G223)</f>
        <v>0.34653534198228814</v>
      </c>
      <c r="AA223" s="1468">
        <f>IF(H223=0,IFERROR($F223*R223/$P223,0),H223)</f>
        <v>1.2267834384497238</v>
      </c>
      <c r="AB223" s="1468">
        <f>IF(I223=0,IFERROR($F223*S223/$P223,0),I223)</f>
        <v>0.3226812195679879</v>
      </c>
      <c r="AC223" s="1469">
        <f>IFERROR(IF($I223=0,$F223*T223/$P223,$AB223*T223/$S223),0)</f>
        <v>0</v>
      </c>
      <c r="AD223" s="1469">
        <f>IFERROR(IF($I223=0,$F223*U223/$P223,$AB223*U223/$S223),0)</f>
        <v>0.3226812195679879</v>
      </c>
      <c r="AE223" s="1469">
        <f>IFERROR(IF($I223=0,$F223*V223/$P223,$AB223*V223/$S223),0)</f>
        <v>0</v>
      </c>
      <c r="AF223" s="1468">
        <f>IFERROR(IF(J223=0,$F223*W223/$P223,P223),0)</f>
        <v>0</v>
      </c>
      <c r="AG223" s="18"/>
      <c r="AH223" s="18"/>
    </row>
    <row r="224" spans="1:34" s="8" customFormat="1" x14ac:dyDescent="0.3">
      <c r="A224" s="1292"/>
      <c r="B224" s="1477">
        <f>B223+1</f>
        <v>126</v>
      </c>
      <c r="C224" s="1352" t="s">
        <v>489</v>
      </c>
      <c r="D224" s="1515"/>
      <c r="E224" s="1515"/>
      <c r="F224" s="1515">
        <v>1.4059999999999999</v>
      </c>
      <c r="G224" s="1506"/>
      <c r="H224" s="1506"/>
      <c r="I224" s="1506"/>
      <c r="J224" s="1503"/>
      <c r="K224" s="1605"/>
      <c r="L224" s="1605"/>
      <c r="M224" s="74"/>
      <c r="N224" s="74"/>
      <c r="O224" s="74"/>
      <c r="P224" s="1467">
        <f t="shared" ref="P224:P234" si="14">SUM(Q224:S224,W224)</f>
        <v>3.0097000000000005</v>
      </c>
      <c r="Q224" s="1468">
        <f t="shared" ref="Q224:Q234" si="15">($G$131*$H$131*$D$131+$H$132*$G$132*$D$132+$H$133*$G$133*$D$133+$H$134*$G$134*$D$134+$H$135*$G$135*$D$135)/12/1000000</f>
        <v>0.55930000000000002</v>
      </c>
      <c r="R224" s="1468">
        <f>R223</f>
        <v>1.9800000000000002</v>
      </c>
      <c r="S224" s="1469">
        <f t="shared" ref="S224:S234" si="16">SUM(T224:V224)</f>
        <v>0.47039999999999998</v>
      </c>
      <c r="T224" s="1469">
        <f>$D$146*'Расчет базового уровня'!$H$146*24/1000</f>
        <v>0</v>
      </c>
      <c r="U224" s="1469">
        <f>$D$150*'Расчет базового уровня'!$H$170*24/1000</f>
        <v>0.47039999999999998</v>
      </c>
      <c r="V224" s="1469">
        <f>$D$154*'Расчет базового уровня'!$H$165*24/1000</f>
        <v>0</v>
      </c>
      <c r="W224" s="1470">
        <f t="shared" ref="W224:W234" si="17">$D$159*$D$160/12/1000</f>
        <v>0</v>
      </c>
      <c r="X224" s="1471"/>
      <c r="Y224" s="1467">
        <f t="shared" ref="Y224:Y235" si="18">SUM(Z224:AB224,AF224)</f>
        <v>1.4059999999999997</v>
      </c>
      <c r="Z224" s="1468">
        <f t="shared" ref="Z224:Z235" si="19">IF(G224=0,IFERROR($F224*Q224/$P224,0),G224)</f>
        <v>0.26128045984649628</v>
      </c>
      <c r="AA224" s="1468">
        <f t="shared" ref="AA224:AA235" si="20">IF(H224=0,IFERROR($F224*R224/$P224,0),H224)</f>
        <v>0.92496926603980445</v>
      </c>
      <c r="AB224" s="1468">
        <f t="shared" ref="AB224:AB235" si="21">IF(I224=0,IFERROR($F224*S224/$P224,0),I224)</f>
        <v>0.21975027411369899</v>
      </c>
      <c r="AC224" s="1469">
        <f t="shared" ref="AC224:AC235" si="22">IFERROR(IF($I224=0,$F224*T224/$P224,$AB224*T224/$S224),0)</f>
        <v>0</v>
      </c>
      <c r="AD224" s="1469">
        <f t="shared" ref="AD224:AD235" si="23">IFERROR(IF($I224=0,$F224*U224/$P224,$AB224*U224/$S224),0)</f>
        <v>0.21975027411369899</v>
      </c>
      <c r="AE224" s="1469">
        <f t="shared" ref="AE224:AE235" si="24">IFERROR(IF($I224=0,$F224*V224/$P224,$AB224*V224/$S224),0)</f>
        <v>0</v>
      </c>
      <c r="AF224" s="1468">
        <f t="shared" ref="AF224:AF235" si="25">IFERROR(IF(J224=0,$F224*W224/$P224,P224),0)</f>
        <v>0</v>
      </c>
      <c r="AG224" s="18"/>
      <c r="AH224" s="18"/>
    </row>
    <row r="225" spans="1:34" s="8" customFormat="1" x14ac:dyDescent="0.3">
      <c r="A225" s="1292"/>
      <c r="B225" s="1477">
        <f t="shared" ref="B225:B234" si="26">B224+1</f>
        <v>127</v>
      </c>
      <c r="C225" s="1352" t="s">
        <v>490</v>
      </c>
      <c r="D225" s="1515"/>
      <c r="E225" s="1515"/>
      <c r="F225" s="1515">
        <v>1.677</v>
      </c>
      <c r="G225" s="1506"/>
      <c r="H225" s="1506"/>
      <c r="I225" s="1506"/>
      <c r="J225" s="1503"/>
      <c r="K225" s="1605"/>
      <c r="L225" s="1605"/>
      <c r="M225" s="74"/>
      <c r="N225" s="74"/>
      <c r="O225" s="74"/>
      <c r="P225" s="1467">
        <f t="shared" si="14"/>
        <v>3.0601000000000003</v>
      </c>
      <c r="Q225" s="1468">
        <f t="shared" si="15"/>
        <v>0.55930000000000002</v>
      </c>
      <c r="R225" s="1468">
        <f t="shared" ref="R225:R234" si="27">R224</f>
        <v>1.9800000000000002</v>
      </c>
      <c r="S225" s="1469">
        <f t="shared" si="16"/>
        <v>0.52079999999999993</v>
      </c>
      <c r="T225" s="1469">
        <f>$D$146*'Расчет базового уровня'!$I$146*24/1000</f>
        <v>0</v>
      </c>
      <c r="U225" s="1469">
        <f>$D$150*'Расчет базового уровня'!$I$170*24/1000</f>
        <v>0.52079999999999993</v>
      </c>
      <c r="V225" s="1469">
        <f>$D$154*'Расчет базового уровня'!$I$165*24/1000</f>
        <v>0</v>
      </c>
      <c r="W225" s="1470">
        <f t="shared" si="17"/>
        <v>0</v>
      </c>
      <c r="X225" s="1471"/>
      <c r="Y225" s="1467">
        <f t="shared" si="18"/>
        <v>1.677</v>
      </c>
      <c r="Z225" s="1468">
        <f t="shared" si="19"/>
        <v>0.30650831672167572</v>
      </c>
      <c r="AA225" s="1468">
        <f t="shared" si="20"/>
        <v>1.0850821868566387</v>
      </c>
      <c r="AB225" s="1468">
        <f t="shared" si="21"/>
        <v>0.2854094964216855</v>
      </c>
      <c r="AC225" s="1469">
        <f t="shared" si="22"/>
        <v>0</v>
      </c>
      <c r="AD225" s="1469">
        <f t="shared" si="23"/>
        <v>0.2854094964216855</v>
      </c>
      <c r="AE225" s="1469">
        <f t="shared" si="24"/>
        <v>0</v>
      </c>
      <c r="AF225" s="1468">
        <f t="shared" si="25"/>
        <v>0</v>
      </c>
      <c r="AG225" s="18"/>
      <c r="AH225" s="18"/>
    </row>
    <row r="226" spans="1:34" s="8" customFormat="1" x14ac:dyDescent="0.3">
      <c r="A226" s="1292"/>
      <c r="B226" s="1477">
        <f t="shared" si="26"/>
        <v>128</v>
      </c>
      <c r="C226" s="1352" t="s">
        <v>491</v>
      </c>
      <c r="D226" s="1515"/>
      <c r="E226" s="1515"/>
      <c r="F226" s="1515">
        <v>1.319</v>
      </c>
      <c r="G226" s="1506"/>
      <c r="H226" s="1506"/>
      <c r="I226" s="1506"/>
      <c r="J226" s="1503"/>
      <c r="K226" s="1605"/>
      <c r="L226" s="1605"/>
      <c r="M226" s="74"/>
      <c r="N226" s="74"/>
      <c r="O226" s="74"/>
      <c r="P226" s="1467">
        <f t="shared" si="14"/>
        <v>3.0433000000000003</v>
      </c>
      <c r="Q226" s="1468">
        <f t="shared" si="15"/>
        <v>0.55930000000000002</v>
      </c>
      <c r="R226" s="1468">
        <f t="shared" si="27"/>
        <v>1.9800000000000002</v>
      </c>
      <c r="S226" s="1469">
        <f t="shared" si="16"/>
        <v>0.504</v>
      </c>
      <c r="T226" s="1469">
        <f>$D$146*'Расчет базового уровня'!$J$146*24/1000</f>
        <v>0</v>
      </c>
      <c r="U226" s="1469">
        <f>$D$150*'Расчет базового уровня'!$J$170*24/1000</f>
        <v>0.504</v>
      </c>
      <c r="V226" s="1469">
        <f>$D$154*'Расчет базового уровня'!$J$165*24/1000</f>
        <v>0</v>
      </c>
      <c r="W226" s="1470">
        <f t="shared" si="17"/>
        <v>0</v>
      </c>
      <c r="X226" s="1471"/>
      <c r="Y226" s="1467">
        <f t="shared" si="18"/>
        <v>1.319</v>
      </c>
      <c r="Z226" s="1468">
        <f t="shared" si="19"/>
        <v>0.2424068281142181</v>
      </c>
      <c r="AA226" s="1468">
        <f t="shared" si="20"/>
        <v>0.85815397759011602</v>
      </c>
      <c r="AB226" s="1468">
        <f t="shared" si="21"/>
        <v>0.21843919429566588</v>
      </c>
      <c r="AC226" s="1469">
        <f t="shared" si="22"/>
        <v>0</v>
      </c>
      <c r="AD226" s="1469">
        <f t="shared" si="23"/>
        <v>0.21843919429566588</v>
      </c>
      <c r="AE226" s="1469">
        <f t="shared" si="24"/>
        <v>0</v>
      </c>
      <c r="AF226" s="1468">
        <f t="shared" si="25"/>
        <v>0</v>
      </c>
      <c r="AG226" s="18"/>
      <c r="AH226" s="18"/>
    </row>
    <row r="227" spans="1:34" s="8" customFormat="1" x14ac:dyDescent="0.3">
      <c r="A227" s="1292"/>
      <c r="B227" s="1477">
        <f t="shared" si="26"/>
        <v>129</v>
      </c>
      <c r="C227" s="1352" t="s">
        <v>805</v>
      </c>
      <c r="D227" s="1515"/>
      <c r="E227" s="1515"/>
      <c r="F227" s="1515">
        <v>0.59699999999999998</v>
      </c>
      <c r="G227" s="1506"/>
      <c r="H227" s="1506"/>
      <c r="I227" s="1506"/>
      <c r="J227" s="1503"/>
      <c r="K227" s="1605"/>
      <c r="L227" s="1605"/>
      <c r="M227" s="74"/>
      <c r="N227" s="74"/>
      <c r="O227" s="74"/>
      <c r="P227" s="1467">
        <f t="shared" si="14"/>
        <v>3.0601000000000003</v>
      </c>
      <c r="Q227" s="1468">
        <f t="shared" si="15"/>
        <v>0.55930000000000002</v>
      </c>
      <c r="R227" s="1468">
        <f t="shared" si="27"/>
        <v>1.9800000000000002</v>
      </c>
      <c r="S227" s="1469">
        <f t="shared" si="16"/>
        <v>0.52079999999999993</v>
      </c>
      <c r="T227" s="1469">
        <f>$D$146*'Расчет базового уровня'!$K$146*24/1000</f>
        <v>0</v>
      </c>
      <c r="U227" s="1469">
        <f>$D$150*'Расчет базового уровня'!$K$170*24/1000</f>
        <v>0.52079999999999993</v>
      </c>
      <c r="V227" s="1469">
        <f>$D$154*'Расчет базового уровня'!$K$165*24/1000</f>
        <v>0</v>
      </c>
      <c r="W227" s="1470">
        <f t="shared" si="17"/>
        <v>0</v>
      </c>
      <c r="X227" s="1471"/>
      <c r="Y227" s="1467">
        <f t="shared" si="18"/>
        <v>0.59699999999999998</v>
      </c>
      <c r="Z227" s="1468">
        <f t="shared" si="19"/>
        <v>0.10911476749125844</v>
      </c>
      <c r="AA227" s="1468">
        <f t="shared" si="20"/>
        <v>0.38628149406882129</v>
      </c>
      <c r="AB227" s="1468">
        <f t="shared" si="21"/>
        <v>0.10160373843992024</v>
      </c>
      <c r="AC227" s="1469">
        <f t="shared" si="22"/>
        <v>0</v>
      </c>
      <c r="AD227" s="1469">
        <f t="shared" si="23"/>
        <v>0.10160373843992024</v>
      </c>
      <c r="AE227" s="1469">
        <f t="shared" si="24"/>
        <v>0</v>
      </c>
      <c r="AF227" s="1468">
        <f t="shared" si="25"/>
        <v>0</v>
      </c>
      <c r="AG227" s="18"/>
      <c r="AH227" s="18"/>
    </row>
    <row r="228" spans="1:34" s="8" customFormat="1" x14ac:dyDescent="0.3">
      <c r="A228" s="1292"/>
      <c r="B228" s="1477">
        <f t="shared" si="26"/>
        <v>130</v>
      </c>
      <c r="C228" s="1352" t="s">
        <v>806</v>
      </c>
      <c r="D228" s="1515"/>
      <c r="E228" s="1515"/>
      <c r="F228" s="1515">
        <v>1.4379999999999999</v>
      </c>
      <c r="G228" s="1506"/>
      <c r="H228" s="1506"/>
      <c r="I228" s="1506"/>
      <c r="J228" s="1503"/>
      <c r="K228" s="1605"/>
      <c r="L228" s="1605"/>
      <c r="M228" s="74"/>
      <c r="N228" s="74"/>
      <c r="O228" s="74"/>
      <c r="P228" s="1467">
        <f t="shared" si="14"/>
        <v>3.0433000000000003</v>
      </c>
      <c r="Q228" s="1468">
        <f t="shared" si="15"/>
        <v>0.55930000000000002</v>
      </c>
      <c r="R228" s="1468">
        <f t="shared" si="27"/>
        <v>1.9800000000000002</v>
      </c>
      <c r="S228" s="1469">
        <f t="shared" si="16"/>
        <v>0.504</v>
      </c>
      <c r="T228" s="1469">
        <f>$D$146*'Расчет базового уровня'!$L$146*24/1000</f>
        <v>0</v>
      </c>
      <c r="U228" s="1469">
        <f>$D$150*'Расчет базового уровня'!$L$170*24/1000</f>
        <v>0.504</v>
      </c>
      <c r="V228" s="1469">
        <f>$D$154*'Расчет базового уровня'!$L$165*24/1000</f>
        <v>0</v>
      </c>
      <c r="W228" s="1470">
        <f t="shared" si="17"/>
        <v>0</v>
      </c>
      <c r="X228" s="1471"/>
      <c r="Y228" s="1467">
        <f t="shared" si="18"/>
        <v>1.4379999999999999</v>
      </c>
      <c r="Z228" s="1468">
        <f t="shared" si="19"/>
        <v>0.26427673906614529</v>
      </c>
      <c r="AA228" s="1468">
        <f t="shared" si="20"/>
        <v>0.93557651233857975</v>
      </c>
      <c r="AB228" s="1468">
        <f t="shared" si="21"/>
        <v>0.23814674859527482</v>
      </c>
      <c r="AC228" s="1469">
        <f t="shared" si="22"/>
        <v>0</v>
      </c>
      <c r="AD228" s="1469">
        <f t="shared" si="23"/>
        <v>0.23814674859527482</v>
      </c>
      <c r="AE228" s="1469">
        <f t="shared" si="24"/>
        <v>0</v>
      </c>
      <c r="AF228" s="1468">
        <f t="shared" si="25"/>
        <v>0</v>
      </c>
      <c r="AG228" s="18"/>
      <c r="AH228" s="18"/>
    </row>
    <row r="229" spans="1:34" s="8" customFormat="1" x14ac:dyDescent="0.3">
      <c r="A229" s="1292"/>
      <c r="B229" s="1477">
        <f t="shared" si="26"/>
        <v>131</v>
      </c>
      <c r="C229" s="1352" t="s">
        <v>807</v>
      </c>
      <c r="D229" s="1515"/>
      <c r="E229" s="1515"/>
      <c r="F229" s="1515">
        <v>0.82</v>
      </c>
      <c r="G229" s="1506"/>
      <c r="H229" s="1506"/>
      <c r="I229" s="1506"/>
      <c r="J229" s="1503"/>
      <c r="K229" s="1605"/>
      <c r="L229" s="1605"/>
      <c r="M229" s="74"/>
      <c r="N229" s="74"/>
      <c r="O229" s="74"/>
      <c r="P229" s="1467">
        <f t="shared" si="14"/>
        <v>2.8249000000000004</v>
      </c>
      <c r="Q229" s="1468">
        <f t="shared" si="15"/>
        <v>0.55930000000000002</v>
      </c>
      <c r="R229" s="1468">
        <f t="shared" si="27"/>
        <v>1.9800000000000002</v>
      </c>
      <c r="S229" s="1469">
        <f t="shared" si="16"/>
        <v>0.28559999999999997</v>
      </c>
      <c r="T229" s="1469">
        <f>$D$146*'Расчет базового уровня'!$M$146*24/1000</f>
        <v>0</v>
      </c>
      <c r="U229" s="1469">
        <f>$D$150*'Расчет базового уровня'!$M$170*24/1000</f>
        <v>0.28559999999999997</v>
      </c>
      <c r="V229" s="1469">
        <f>$D$154*'Расчет базового уровня'!$M$165*24/1000</f>
        <v>0</v>
      </c>
      <c r="W229" s="1470">
        <f t="shared" si="17"/>
        <v>0</v>
      </c>
      <c r="X229" s="1471"/>
      <c r="Y229" s="1467">
        <f t="shared" si="18"/>
        <v>0.82</v>
      </c>
      <c r="Z229" s="1468">
        <f t="shared" si="19"/>
        <v>0.16235123367198837</v>
      </c>
      <c r="AA229" s="1468">
        <f t="shared" si="20"/>
        <v>0.57474600870827286</v>
      </c>
      <c r="AB229" s="1468">
        <f t="shared" si="21"/>
        <v>8.2902757619738726E-2</v>
      </c>
      <c r="AC229" s="1469">
        <f t="shared" si="22"/>
        <v>0</v>
      </c>
      <c r="AD229" s="1469">
        <f t="shared" si="23"/>
        <v>8.2902757619738726E-2</v>
      </c>
      <c r="AE229" s="1469">
        <f t="shared" si="24"/>
        <v>0</v>
      </c>
      <c r="AF229" s="1468">
        <f t="shared" si="25"/>
        <v>0</v>
      </c>
      <c r="AG229" s="18"/>
      <c r="AH229" s="18"/>
    </row>
    <row r="230" spans="1:34" s="8" customFormat="1" x14ac:dyDescent="0.3">
      <c r="A230" s="1292"/>
      <c r="B230" s="1477">
        <f t="shared" si="26"/>
        <v>132</v>
      </c>
      <c r="C230" s="1352" t="s">
        <v>808</v>
      </c>
      <c r="D230" s="1515"/>
      <c r="E230" s="1515"/>
      <c r="F230" s="1515">
        <v>1.2370000000000001</v>
      </c>
      <c r="G230" s="1506"/>
      <c r="H230" s="1506"/>
      <c r="I230" s="1506"/>
      <c r="J230" s="1503"/>
      <c r="K230" s="1605"/>
      <c r="L230" s="1605"/>
      <c r="M230" s="74"/>
      <c r="N230" s="74"/>
      <c r="O230" s="74"/>
      <c r="P230" s="1467">
        <f t="shared" si="14"/>
        <v>3.0601000000000003</v>
      </c>
      <c r="Q230" s="1468">
        <f t="shared" si="15"/>
        <v>0.55930000000000002</v>
      </c>
      <c r="R230" s="1468">
        <f t="shared" si="27"/>
        <v>1.9800000000000002</v>
      </c>
      <c r="S230" s="1469">
        <f t="shared" si="16"/>
        <v>0.52079999999999993</v>
      </c>
      <c r="T230" s="1469">
        <f>$D$146*'Расчет базового уровня'!$N$146*24/1000</f>
        <v>0</v>
      </c>
      <c r="U230" s="1469">
        <f>$D$150*'Расчет базового уровня'!$N$170*24/1000</f>
        <v>0.52079999999999993</v>
      </c>
      <c r="V230" s="1469">
        <f>$D$154*'Расчет базового уровня'!$N$165*24/1000</f>
        <v>0</v>
      </c>
      <c r="W230" s="1470">
        <f t="shared" si="17"/>
        <v>0</v>
      </c>
      <c r="X230" s="1471"/>
      <c r="Y230" s="1467">
        <f t="shared" si="18"/>
        <v>1.2370000000000001</v>
      </c>
      <c r="Z230" s="1468">
        <f t="shared" si="19"/>
        <v>0.22608872259076498</v>
      </c>
      <c r="AA230" s="1468">
        <f t="shared" si="20"/>
        <v>0.80038560831345396</v>
      </c>
      <c r="AB230" s="1468">
        <f t="shared" si="21"/>
        <v>0.21052566909578116</v>
      </c>
      <c r="AC230" s="1469">
        <f t="shared" si="22"/>
        <v>0</v>
      </c>
      <c r="AD230" s="1469">
        <f t="shared" si="23"/>
        <v>0.21052566909578116</v>
      </c>
      <c r="AE230" s="1469">
        <f t="shared" si="24"/>
        <v>0</v>
      </c>
      <c r="AF230" s="1468">
        <f t="shared" si="25"/>
        <v>0</v>
      </c>
      <c r="AG230" s="18"/>
      <c r="AH230" s="18"/>
    </row>
    <row r="231" spans="1:34" s="8" customFormat="1" x14ac:dyDescent="0.3">
      <c r="A231" s="1292"/>
      <c r="B231" s="1477">
        <f t="shared" si="26"/>
        <v>133</v>
      </c>
      <c r="C231" s="1352" t="s">
        <v>809</v>
      </c>
      <c r="D231" s="1515"/>
      <c r="E231" s="1515"/>
      <c r="F231" s="1515">
        <v>1.294</v>
      </c>
      <c r="G231" s="1506"/>
      <c r="H231" s="1506"/>
      <c r="I231" s="1506"/>
      <c r="J231" s="1503"/>
      <c r="K231" s="1605"/>
      <c r="L231" s="1605"/>
      <c r="M231" s="74"/>
      <c r="N231" s="74"/>
      <c r="O231" s="74"/>
      <c r="P231" s="1467">
        <f t="shared" si="14"/>
        <v>3.0433000000000003</v>
      </c>
      <c r="Q231" s="1468">
        <f t="shared" si="15"/>
        <v>0.55930000000000002</v>
      </c>
      <c r="R231" s="1468">
        <f t="shared" si="27"/>
        <v>1.9800000000000002</v>
      </c>
      <c r="S231" s="1469">
        <f t="shared" si="16"/>
        <v>0.504</v>
      </c>
      <c r="T231" s="1469">
        <f>$D$146*'Расчет базового уровня'!$O$146*24/1000</f>
        <v>0</v>
      </c>
      <c r="U231" s="1469">
        <f>$D$150*'Расчет базового уровня'!$O$170*24/1000</f>
        <v>0.504</v>
      </c>
      <c r="V231" s="1469">
        <f>$D$154*'Расчет базового уровня'!$O$165*24/1000</f>
        <v>0</v>
      </c>
      <c r="W231" s="1470">
        <f t="shared" si="17"/>
        <v>0</v>
      </c>
      <c r="X231" s="1471"/>
      <c r="Y231" s="1467">
        <f t="shared" si="18"/>
        <v>1.294</v>
      </c>
      <c r="Z231" s="1468">
        <f t="shared" si="19"/>
        <v>0.23781230900667036</v>
      </c>
      <c r="AA231" s="1468">
        <f t="shared" si="20"/>
        <v>0.84188873919758156</v>
      </c>
      <c r="AB231" s="1468">
        <f t="shared" si="21"/>
        <v>0.21429895179574801</v>
      </c>
      <c r="AC231" s="1469">
        <f t="shared" si="22"/>
        <v>0</v>
      </c>
      <c r="AD231" s="1469">
        <f t="shared" si="23"/>
        <v>0.21429895179574801</v>
      </c>
      <c r="AE231" s="1469">
        <f t="shared" si="24"/>
        <v>0</v>
      </c>
      <c r="AF231" s="1468">
        <f t="shared" si="25"/>
        <v>0</v>
      </c>
      <c r="AG231" s="18"/>
      <c r="AH231" s="18"/>
    </row>
    <row r="232" spans="1:34" s="8" customFormat="1" x14ac:dyDescent="0.3">
      <c r="A232" s="1292"/>
      <c r="B232" s="1477">
        <f t="shared" si="26"/>
        <v>134</v>
      </c>
      <c r="C232" s="1352" t="s">
        <v>482</v>
      </c>
      <c r="D232" s="1515"/>
      <c r="E232" s="1515"/>
      <c r="F232" s="1515">
        <v>0.93</v>
      </c>
      <c r="G232" s="1506"/>
      <c r="H232" s="1506"/>
      <c r="I232" s="1506"/>
      <c r="J232" s="1503"/>
      <c r="K232" s="1605"/>
      <c r="L232" s="1605"/>
      <c r="M232" s="74"/>
      <c r="N232" s="74"/>
      <c r="O232" s="74"/>
      <c r="P232" s="1467">
        <f t="shared" si="14"/>
        <v>3.0601000000000003</v>
      </c>
      <c r="Q232" s="1468">
        <f t="shared" si="15"/>
        <v>0.55930000000000002</v>
      </c>
      <c r="R232" s="1468">
        <f t="shared" si="27"/>
        <v>1.9800000000000002</v>
      </c>
      <c r="S232" s="1469">
        <f t="shared" si="16"/>
        <v>0.52079999999999993</v>
      </c>
      <c r="T232" s="1469">
        <f>$D$146*'Расчет базового уровня'!$P$146*24/1000</f>
        <v>0</v>
      </c>
      <c r="U232" s="1469">
        <f>$D$150*'Расчет базового уровня'!$P$170*24/1000</f>
        <v>0.52079999999999993</v>
      </c>
      <c r="V232" s="1469">
        <f>$D$154*'Расчет базового уровня'!$P$165*24/1000</f>
        <v>0</v>
      </c>
      <c r="W232" s="1470">
        <f t="shared" si="17"/>
        <v>0</v>
      </c>
      <c r="X232" s="1471"/>
      <c r="Y232" s="1467">
        <f t="shared" si="18"/>
        <v>0.93</v>
      </c>
      <c r="Z232" s="1468">
        <f t="shared" si="19"/>
        <v>0.16997777850397047</v>
      </c>
      <c r="AA232" s="1468">
        <f t="shared" si="20"/>
        <v>0.60174504101173176</v>
      </c>
      <c r="AB232" s="1468">
        <f t="shared" si="21"/>
        <v>0.15827718048429787</v>
      </c>
      <c r="AC232" s="1469">
        <f t="shared" si="22"/>
        <v>0</v>
      </c>
      <c r="AD232" s="1469">
        <f t="shared" si="23"/>
        <v>0.15827718048429787</v>
      </c>
      <c r="AE232" s="1469">
        <f t="shared" si="24"/>
        <v>0</v>
      </c>
      <c r="AF232" s="1468">
        <f t="shared" si="25"/>
        <v>0</v>
      </c>
      <c r="AG232" s="18"/>
      <c r="AH232" s="18"/>
    </row>
    <row r="233" spans="1:34" s="8" customFormat="1" x14ac:dyDescent="0.3">
      <c r="A233" s="1292"/>
      <c r="B233" s="1477">
        <f t="shared" si="26"/>
        <v>135</v>
      </c>
      <c r="C233" s="1352" t="s">
        <v>486</v>
      </c>
      <c r="D233" s="1515"/>
      <c r="E233" s="1515"/>
      <c r="F233" s="1515">
        <v>2.6070000000000002</v>
      </c>
      <c r="G233" s="1506"/>
      <c r="H233" s="1506"/>
      <c r="I233" s="1506"/>
      <c r="J233" s="1503"/>
      <c r="K233" s="1605"/>
      <c r="L233" s="1605"/>
      <c r="M233" s="74"/>
      <c r="N233" s="74"/>
      <c r="O233" s="74"/>
      <c r="P233" s="1467">
        <f t="shared" si="14"/>
        <v>3.0433000000000003</v>
      </c>
      <c r="Q233" s="1468">
        <f t="shared" si="15"/>
        <v>0.55930000000000002</v>
      </c>
      <c r="R233" s="1468">
        <f t="shared" si="27"/>
        <v>1.9800000000000002</v>
      </c>
      <c r="S233" s="1469">
        <f t="shared" si="16"/>
        <v>0.504</v>
      </c>
      <c r="T233" s="1469">
        <f>$D$146*'Расчет базового уровня'!$Q$146*24/1000</f>
        <v>0</v>
      </c>
      <c r="U233" s="1469">
        <f>$D$150*'Расчет базового уровня'!$Q$170*24/1000</f>
        <v>0.504</v>
      </c>
      <c r="V233" s="1469">
        <f>$D$154*'Расчет базового уровня'!$Q$165*24/1000</f>
        <v>0</v>
      </c>
      <c r="W233" s="1470">
        <f t="shared" si="17"/>
        <v>0</v>
      </c>
      <c r="X233" s="1471"/>
      <c r="Y233" s="1467">
        <f t="shared" si="18"/>
        <v>2.6069999999999998</v>
      </c>
      <c r="Z233" s="1468">
        <f t="shared" si="19"/>
        <v>0.47911645253507706</v>
      </c>
      <c r="AA233" s="1468">
        <f t="shared" si="20"/>
        <v>1.6961390595734893</v>
      </c>
      <c r="AB233" s="1468">
        <f t="shared" si="21"/>
        <v>0.43174448789143366</v>
      </c>
      <c r="AC233" s="1469">
        <f t="shared" si="22"/>
        <v>0</v>
      </c>
      <c r="AD233" s="1469">
        <f t="shared" si="23"/>
        <v>0.43174448789143366</v>
      </c>
      <c r="AE233" s="1469">
        <f t="shared" si="24"/>
        <v>0</v>
      </c>
      <c r="AF233" s="1468">
        <f t="shared" si="25"/>
        <v>0</v>
      </c>
      <c r="AG233" s="18"/>
      <c r="AH233" s="18"/>
    </row>
    <row r="234" spans="1:34" s="8" customFormat="1" x14ac:dyDescent="0.3">
      <c r="A234" s="1292"/>
      <c r="B234" s="1477">
        <f t="shared" si="26"/>
        <v>136</v>
      </c>
      <c r="C234" s="1354" t="s">
        <v>487</v>
      </c>
      <c r="D234" s="1516"/>
      <c r="E234" s="1516"/>
      <c r="F234" s="1516">
        <v>1.2669999999999999</v>
      </c>
      <c r="G234" s="1507"/>
      <c r="H234" s="1507"/>
      <c r="I234" s="1507"/>
      <c r="J234" s="1504"/>
      <c r="K234" s="1605"/>
      <c r="L234" s="1605"/>
      <c r="M234" s="74"/>
      <c r="N234" s="74"/>
      <c r="O234" s="74"/>
      <c r="P234" s="1467">
        <f t="shared" si="14"/>
        <v>3.0601000000000003</v>
      </c>
      <c r="Q234" s="1468">
        <f t="shared" si="15"/>
        <v>0.55930000000000002</v>
      </c>
      <c r="R234" s="1468">
        <f t="shared" si="27"/>
        <v>1.9800000000000002</v>
      </c>
      <c r="S234" s="1469">
        <f t="shared" si="16"/>
        <v>0.52079999999999993</v>
      </c>
      <c r="T234" s="1469">
        <f>$D$146*'Расчет базового уровня'!$R$146*24/1000</f>
        <v>0</v>
      </c>
      <c r="U234" s="1469">
        <f>$D$150*'Расчет базового уровня'!$R$170*24/1000</f>
        <v>0.52079999999999993</v>
      </c>
      <c r="V234" s="1469">
        <f>$D$154*'Расчет базового уровня'!$R$165*24/1000</f>
        <v>0</v>
      </c>
      <c r="W234" s="1470">
        <f t="shared" si="17"/>
        <v>0</v>
      </c>
      <c r="X234" s="1471"/>
      <c r="Y234" s="1467">
        <f t="shared" si="18"/>
        <v>1.2669999999999999</v>
      </c>
      <c r="Z234" s="1468">
        <f t="shared" si="19"/>
        <v>0.23157187673605437</v>
      </c>
      <c r="AA234" s="1468">
        <f t="shared" si="20"/>
        <v>0.81979673866867087</v>
      </c>
      <c r="AB234" s="1468">
        <f t="shared" si="21"/>
        <v>0.21563138459527459</v>
      </c>
      <c r="AC234" s="1469">
        <f t="shared" si="22"/>
        <v>0</v>
      </c>
      <c r="AD234" s="1469">
        <f t="shared" si="23"/>
        <v>0.21563138459527459</v>
      </c>
      <c r="AE234" s="1469">
        <f t="shared" si="24"/>
        <v>0</v>
      </c>
      <c r="AF234" s="1468">
        <f t="shared" si="25"/>
        <v>0</v>
      </c>
      <c r="AG234" s="18"/>
      <c r="AH234" s="18"/>
    </row>
    <row r="235" spans="1:34" s="8" customFormat="1" x14ac:dyDescent="0.3">
      <c r="A235" s="1292"/>
      <c r="B235" s="1475"/>
      <c r="C235" s="1350" t="s">
        <v>1000</v>
      </c>
      <c r="D235" s="1431">
        <v>0</v>
      </c>
      <c r="E235" s="1431">
        <v>0</v>
      </c>
      <c r="F235" s="1431">
        <f>SUM(F223:F234)</f>
        <v>16.488</v>
      </c>
      <c r="G235" s="1431">
        <v>0</v>
      </c>
      <c r="H235" s="1431">
        <v>0</v>
      </c>
      <c r="I235" s="1431">
        <v>0</v>
      </c>
      <c r="J235" s="1432">
        <v>0</v>
      </c>
      <c r="K235" s="1605"/>
      <c r="L235" s="1605"/>
      <c r="M235" s="74"/>
      <c r="N235" s="74"/>
      <c r="O235" s="74"/>
      <c r="P235" s="1472">
        <f>SUM(P223:P234)</f>
        <v>36.368400000000001</v>
      </c>
      <c r="Q235" s="1473">
        <f>SUM(Q223:Q234)</f>
        <v>6.7116000000000016</v>
      </c>
      <c r="R235" s="1472">
        <f t="shared" ref="R235" si="28">SUM(R223:R234)</f>
        <v>23.76</v>
      </c>
      <c r="S235" s="1472">
        <f t="shared" ref="S235" si="29">SUM(S223:S234)</f>
        <v>5.8967999999999989</v>
      </c>
      <c r="T235" s="1472">
        <f t="shared" ref="T235" si="30">SUM(T223:T234)</f>
        <v>0</v>
      </c>
      <c r="U235" s="1472">
        <f t="shared" ref="U235" si="31">SUM(U223:U234)</f>
        <v>5.8967999999999989</v>
      </c>
      <c r="V235" s="1472">
        <f t="shared" ref="V235" si="32">SUM(V223:V234)</f>
        <v>0</v>
      </c>
      <c r="W235" s="1472">
        <f t="shared" ref="W235" si="33">SUM(W223:W234)</f>
        <v>0</v>
      </c>
      <c r="X235" s="1471"/>
      <c r="Y235" s="1467">
        <f t="shared" si="18"/>
        <v>16.488</v>
      </c>
      <c r="Z235" s="1468">
        <f t="shared" si="19"/>
        <v>3.0427750684660313</v>
      </c>
      <c r="AA235" s="1468">
        <f t="shared" si="20"/>
        <v>10.771848087900485</v>
      </c>
      <c r="AB235" s="1468">
        <f t="shared" si="21"/>
        <v>2.6733768436334833</v>
      </c>
      <c r="AC235" s="1469">
        <f t="shared" si="22"/>
        <v>0</v>
      </c>
      <c r="AD235" s="1469">
        <f t="shared" si="23"/>
        <v>2.6733768436334833</v>
      </c>
      <c r="AE235" s="1469">
        <f t="shared" si="24"/>
        <v>0</v>
      </c>
      <c r="AF235" s="1468">
        <f t="shared" si="25"/>
        <v>0</v>
      </c>
      <c r="AG235" s="18"/>
      <c r="AH235" s="18"/>
    </row>
    <row r="236" spans="1:34" s="8" customFormat="1" ht="29.25" customHeight="1" x14ac:dyDescent="0.3">
      <c r="A236" s="1292"/>
      <c r="B236" s="1475"/>
      <c r="C236" s="10"/>
      <c r="D236" s="10"/>
      <c r="E236" s="1513" t="str">
        <f>IF(E235&gt;10000,"Вводите показания в ТЫС кВтч","")</f>
        <v/>
      </c>
      <c r="F236" s="1598"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8"/>
      <c r="H236" s="1598"/>
      <c r="I236" s="1598"/>
      <c r="J236" s="1598"/>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3">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 thickBot="1" x14ac:dyDescent="0.35">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5">
      <c r="B239" s="1476">
        <f>5/8</f>
        <v>0.625</v>
      </c>
      <c r="C239" s="1600" t="s">
        <v>1431</v>
      </c>
      <c r="D239" s="1600"/>
      <c r="E239" s="1600"/>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3">
      <c r="A240" s="1292"/>
      <c r="B240" s="1477">
        <f>B234+1</f>
        <v>137</v>
      </c>
      <c r="C240" s="1408" t="s">
        <v>1865</v>
      </c>
      <c r="D240" s="1413" t="s">
        <v>536</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3">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3">
      <c r="A242" s="18"/>
      <c r="B242" s="74"/>
      <c r="C242" s="1577" t="s">
        <v>1281</v>
      </c>
      <c r="D242" s="1577"/>
      <c r="E242" s="1577"/>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3">
      <c r="A243" s="1292"/>
      <c r="B243" s="1475"/>
      <c r="C243" s="1412" t="s">
        <v>1868</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3">
      <c r="A244" s="1292"/>
      <c r="B244" s="1477">
        <f>B240+1</f>
        <v>138</v>
      </c>
      <c r="C244" s="1417" t="s">
        <v>1869</v>
      </c>
      <c r="D244" s="1409" t="s">
        <v>1867</v>
      </c>
      <c r="E244" s="1371">
        <v>42649</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3">
      <c r="A245" s="1292"/>
      <c r="B245" s="1477">
        <f>B244+1</f>
        <v>139</v>
      </c>
      <c r="C245" s="1417" t="s">
        <v>1870</v>
      </c>
      <c r="D245" s="1371">
        <v>42475</v>
      </c>
      <c r="E245" s="1371"/>
      <c r="F245" s="1580"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Не вводите окончание отопительного сезона 2016/2017 гг., если оно позже, чем месяц последнего счета!</v>
      </c>
      <c r="G245" s="1581"/>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3">
      <c r="A246" s="1292"/>
      <c r="B246" s="1475"/>
      <c r="C246" s="1410" t="s">
        <v>1871</v>
      </c>
      <c r="D246" s="1578">
        <f>IF(OR(AND(ISBLANK(E245),ISBLANK(D245)),ISBLANK(E244)),0,IF(E245="",(DATE(E240-1,12,31)-E244+D245-DATE(E240-1,1,1)),E245-E244))</f>
        <v>191</v>
      </c>
      <c r="E246" s="1579"/>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3">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3">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3">
      <c r="A249" s="1292"/>
      <c r="B249" s="1477"/>
      <c r="C249" s="1434" t="s">
        <v>1422</v>
      </c>
      <c r="D249" s="1526">
        <f>IF(E245="",D245,E245)</f>
        <v>42475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15" x14ac:dyDescent="0.3">
      <c r="B250" s="1475"/>
      <c r="C250" s="1574" t="s">
        <v>995</v>
      </c>
      <c r="D250" s="1603" t="s">
        <v>1836</v>
      </c>
      <c r="E250" s="1604"/>
      <c r="F250" s="1574" t="s">
        <v>1837</v>
      </c>
      <c r="G250" s="1574"/>
      <c r="H250" s="1575" t="s">
        <v>1282</v>
      </c>
      <c r="I250" s="1576" t="s">
        <v>1287</v>
      </c>
      <c r="J250" s="1576" t="s">
        <v>1288</v>
      </c>
      <c r="K250" s="1601"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3">
      <c r="B251" s="1475"/>
      <c r="C251" s="1574"/>
      <c r="D251" s="1361" t="s">
        <v>1002</v>
      </c>
      <c r="E251" s="1361" t="s">
        <v>1283</v>
      </c>
      <c r="F251" s="1361" t="s">
        <v>1284</v>
      </c>
      <c r="G251" s="1361" t="s">
        <v>1285</v>
      </c>
      <c r="H251" s="1575"/>
      <c r="I251" s="1576"/>
      <c r="J251" s="1576"/>
      <c r="K251" s="1602"/>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477">
        <f>B245+1</f>
        <v>140</v>
      </c>
      <c r="C252" s="1362" t="s">
        <v>488</v>
      </c>
      <c r="D252" s="1447">
        <f>Климатология!AI2</f>
        <v>-2.2000000000000002</v>
      </c>
      <c r="E252" s="1518">
        <v>-1.7</v>
      </c>
      <c r="F252" s="1447">
        <f>Климатология!AL2</f>
        <v>688.19999999999993</v>
      </c>
      <c r="G252" s="1447">
        <f>($D$83-IF(I252&lt;0.5*J252,8,E252))*I252</f>
        <v>672.69999999999993</v>
      </c>
      <c r="H252" s="1451">
        <f>IF(G252=0,0,F252/G252)</f>
        <v>1.0230414746543779</v>
      </c>
      <c r="I252" s="1447">
        <v>31</v>
      </c>
      <c r="J252" s="1447">
        <v>31</v>
      </c>
      <c r="K252" s="1452">
        <f>IF(I252&lt;0.5*J252,8,E252)*I252</f>
        <v>-52.699999999999996</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477">
        <f>B252+1</f>
        <v>141</v>
      </c>
      <c r="C253" s="1363" t="s">
        <v>489</v>
      </c>
      <c r="D253" s="1448">
        <f>Климатология!AM2</f>
        <v>-1.7</v>
      </c>
      <c r="E253" s="1519">
        <v>-0.4</v>
      </c>
      <c r="F253" s="1448">
        <f>Климатология!AP2</f>
        <v>607.6</v>
      </c>
      <c r="G253" s="1448">
        <f t="shared" ref="G253:G255" si="34">($D$83-IF(I253&lt;0.5*J253,8,E253))*I253</f>
        <v>571.19999999999993</v>
      </c>
      <c r="H253" s="1453">
        <f t="shared" ref="H253:H264" si="35">IF(G253=0,0,F253/G253)</f>
        <v>1.0637254901960786</v>
      </c>
      <c r="I253" s="1448">
        <f>IF(MONTH($D$249)=2,DAY($D$249),IF(MONTH($D$249)&lt;2,0,J253))</f>
        <v>28</v>
      </c>
      <c r="J253" s="1448">
        <v>28</v>
      </c>
      <c r="K253" s="1454">
        <f t="shared" ref="K253:K263" si="36">IF(I253&lt;0.5*J253,8,E253)*I253</f>
        <v>-11.200000000000001</v>
      </c>
      <c r="L253" s="1360">
        <f t="shared" ref="L253:L264" si="37">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477">
        <f t="shared" ref="B254:B263" si="38">B253+1</f>
        <v>142</v>
      </c>
      <c r="C254" s="1363" t="s">
        <v>490</v>
      </c>
      <c r="D254" s="1448">
        <f>Климатология!AQ2</f>
        <v>1.7</v>
      </c>
      <c r="E254" s="1519">
        <v>3.7</v>
      </c>
      <c r="F254" s="1448">
        <f>Климатология!AT2</f>
        <v>567.30000000000007</v>
      </c>
      <c r="G254" s="1448">
        <f t="shared" si="34"/>
        <v>505.3</v>
      </c>
      <c r="H254" s="1453">
        <f t="shared" si="35"/>
        <v>1.1226993865030677</v>
      </c>
      <c r="I254" s="1448">
        <f>IF(MONTH($D$249)=3,DAY($D$249),IF(MONTH($D$249)&lt;3,0,J254))</f>
        <v>31</v>
      </c>
      <c r="J254" s="1448">
        <v>31</v>
      </c>
      <c r="K254" s="1454">
        <f t="shared" si="36"/>
        <v>114.7</v>
      </c>
      <c r="L254" s="1360">
        <f t="shared" si="37"/>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477">
        <f t="shared" si="38"/>
        <v>143</v>
      </c>
      <c r="C255" s="1363" t="s">
        <v>491</v>
      </c>
      <c r="D255" s="1448">
        <f>Климатология!AU2</f>
        <v>6.7</v>
      </c>
      <c r="E255" s="1519">
        <v>8.1999999999999993</v>
      </c>
      <c r="F255" s="1448">
        <f>Климатология!AX2</f>
        <v>246.05</v>
      </c>
      <c r="G255" s="1448">
        <f t="shared" si="34"/>
        <v>177</v>
      </c>
      <c r="H255" s="1453">
        <f t="shared" si="35"/>
        <v>1.3901129943502826</v>
      </c>
      <c r="I255" s="1448">
        <f>IF(MONTH($D$249)=4,DAY($D$249),IF(MONTH($D$249)&lt;4,0,J255))</f>
        <v>15</v>
      </c>
      <c r="J255" s="1448">
        <v>30</v>
      </c>
      <c r="K255" s="1454">
        <f t="shared" si="36"/>
        <v>122.99999999999999</v>
      </c>
      <c r="L255" s="1360">
        <f t="shared" si="37"/>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477">
        <f t="shared" si="38"/>
        <v>144</v>
      </c>
      <c r="C256" s="1363" t="s">
        <v>805</v>
      </c>
      <c r="D256" s="1448">
        <f>Климатология!AY2</f>
        <v>12.2</v>
      </c>
      <c r="E256" s="1519">
        <v>15</v>
      </c>
      <c r="F256" s="1448">
        <f>Климатология!BB2</f>
        <v>0</v>
      </c>
      <c r="G256" s="1448">
        <f t="shared" ref="G256:G261" si="39">($D$83-IF(I256&lt;0.5*J256,8,E256))*I256</f>
        <v>0</v>
      </c>
      <c r="H256" s="1453">
        <f t="shared" si="35"/>
        <v>0</v>
      </c>
      <c r="I256" s="1448">
        <f>IF(MONTH($D$249)=5,DAY($D$249),IF(MONTH($D$249)&lt;5,0,J256))</f>
        <v>0</v>
      </c>
      <c r="J256" s="1448">
        <v>31</v>
      </c>
      <c r="K256" s="1454">
        <f t="shared" si="36"/>
        <v>0</v>
      </c>
      <c r="L256" s="1360">
        <f t="shared" si="37"/>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477">
        <f t="shared" si="38"/>
        <v>145</v>
      </c>
      <c r="C257" s="1363" t="s">
        <v>806</v>
      </c>
      <c r="D257" s="1448">
        <f>Климатология!BC2</f>
        <v>15.6</v>
      </c>
      <c r="E257" s="1519">
        <v>17.5</v>
      </c>
      <c r="F257" s="1448">
        <f>Климатология!BF2</f>
        <v>0</v>
      </c>
      <c r="G257" s="1448">
        <f t="shared" si="39"/>
        <v>0</v>
      </c>
      <c r="H257" s="1453">
        <f t="shared" si="35"/>
        <v>0</v>
      </c>
      <c r="I257" s="1448">
        <f>IF(MONTH($D$249)=6,DAY($D$249),IF(MONTH($D$249)&lt;6,0,J257))</f>
        <v>0</v>
      </c>
      <c r="J257" s="1448">
        <v>30</v>
      </c>
      <c r="K257" s="1454">
        <f t="shared" si="36"/>
        <v>0</v>
      </c>
      <c r="L257" s="1360">
        <f t="shared" si="37"/>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477">
        <f t="shared" si="38"/>
        <v>146</v>
      </c>
      <c r="C258" s="1363" t="s">
        <v>807</v>
      </c>
      <c r="D258" s="1448">
        <f>Климатология!K2</f>
        <v>17.7</v>
      </c>
      <c r="E258" s="1519">
        <v>18.8</v>
      </c>
      <c r="F258" s="1448">
        <f>Климатология!N2</f>
        <v>0</v>
      </c>
      <c r="G258" s="1448">
        <f t="shared" si="39"/>
        <v>0</v>
      </c>
      <c r="H258" s="1453">
        <f t="shared" si="35"/>
        <v>0</v>
      </c>
      <c r="I258" s="1448">
        <f>IF(MONTH($D$249)=7,DAY($D$249),IF(MONTH($D$249)&lt;7,0,J258))</f>
        <v>0</v>
      </c>
      <c r="J258" s="1448">
        <v>31</v>
      </c>
      <c r="K258" s="1454">
        <f t="shared" si="36"/>
        <v>0</v>
      </c>
      <c r="L258" s="1360">
        <f t="shared" si="37"/>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477">
        <f t="shared" si="38"/>
        <v>147</v>
      </c>
      <c r="C259" s="1363" t="s">
        <v>808</v>
      </c>
      <c r="D259" s="1448">
        <f>Климатология!O2</f>
        <v>17.3</v>
      </c>
      <c r="E259" s="1519">
        <v>17.5</v>
      </c>
      <c r="F259" s="1448">
        <f>Климатология!R2</f>
        <v>0</v>
      </c>
      <c r="G259" s="1448">
        <f t="shared" si="39"/>
        <v>0</v>
      </c>
      <c r="H259" s="1453">
        <f t="shared" si="35"/>
        <v>0</v>
      </c>
      <c r="I259" s="1448">
        <f>IF(MONTH($E$244)=8,J259-DAY($E$244),IF(MONTH($E$244)&lt;8,J259,0))</f>
        <v>0</v>
      </c>
      <c r="J259" s="1448">
        <v>31</v>
      </c>
      <c r="K259" s="1454">
        <f t="shared" si="36"/>
        <v>0</v>
      </c>
      <c r="L259" s="1360">
        <f t="shared" si="37"/>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477">
        <f t="shared" si="38"/>
        <v>148</v>
      </c>
      <c r="C260" s="1363" t="s">
        <v>809</v>
      </c>
      <c r="D260" s="1448">
        <f>Климатология!S2</f>
        <v>12.9</v>
      </c>
      <c r="E260" s="1519">
        <v>14.6</v>
      </c>
      <c r="F260" s="1448">
        <f>Климатология!V2</f>
        <v>0</v>
      </c>
      <c r="G260" s="1448">
        <f t="shared" si="39"/>
        <v>0</v>
      </c>
      <c r="H260" s="1453">
        <f t="shared" si="35"/>
        <v>0</v>
      </c>
      <c r="I260" s="1448">
        <f>IF(MONTH($E$244)=9,J260-DAY($E$244),IF(MONTH($E$244)&lt;9,J260,0))</f>
        <v>0</v>
      </c>
      <c r="J260" s="1448">
        <v>30</v>
      </c>
      <c r="K260" s="1454">
        <f t="shared" si="36"/>
        <v>0</v>
      </c>
      <c r="L260" s="1360">
        <f t="shared" si="37"/>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477">
        <f t="shared" si="38"/>
        <v>149</v>
      </c>
      <c r="C261" s="1363" t="s">
        <v>482</v>
      </c>
      <c r="D261" s="1448">
        <f>Климатология!W2</f>
        <v>8.3000000000000007</v>
      </c>
      <c r="E261" s="1519">
        <v>6.5</v>
      </c>
      <c r="F261" s="1448">
        <f>Климатология!Z2</f>
        <v>216.45</v>
      </c>
      <c r="G261" s="1448">
        <f t="shared" si="39"/>
        <v>337.5</v>
      </c>
      <c r="H261" s="1453">
        <f t="shared" si="35"/>
        <v>0.64133333333333331</v>
      </c>
      <c r="I261" s="1448">
        <f>IF(MONTH(E244)=10,J261-DAY(E244),IF(MONTH(E244)&lt;10,J261,0))</f>
        <v>25</v>
      </c>
      <c r="J261" s="1448">
        <v>31</v>
      </c>
      <c r="K261" s="1454">
        <f t="shared" si="36"/>
        <v>162.5</v>
      </c>
      <c r="L261" s="1360">
        <f t="shared" si="37"/>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477">
        <f t="shared" si="38"/>
        <v>150</v>
      </c>
      <c r="C262" s="1363" t="s">
        <v>486</v>
      </c>
      <c r="D262" s="1448">
        <f>Климатология!AA2</f>
        <v>3.4</v>
      </c>
      <c r="E262" s="1519">
        <v>3.6</v>
      </c>
      <c r="F262" s="1454">
        <f>Климатология!AD2</f>
        <v>498.00000000000006</v>
      </c>
      <c r="G262" s="1448">
        <f t="shared" ref="G262:G263" si="40">($D$83-IF(I262&lt;0.5*J262,8,E262))*I262</f>
        <v>491.99999999999994</v>
      </c>
      <c r="H262" s="1453">
        <f t="shared" si="35"/>
        <v>1.0121951219512197</v>
      </c>
      <c r="I262" s="1448">
        <f>IF(MONTH(D249)=11,J262-DAY(D249),IF(MONTH(D249)&lt;11,J262,0))</f>
        <v>30</v>
      </c>
      <c r="J262" s="1448">
        <v>30</v>
      </c>
      <c r="K262" s="1454">
        <f>IF(I262&lt;0.5*J262,8,E262)*I262</f>
        <v>108</v>
      </c>
      <c r="L262" s="1360">
        <f t="shared" si="37"/>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477">
        <f t="shared" si="38"/>
        <v>151</v>
      </c>
      <c r="C263" s="1364" t="s">
        <v>487</v>
      </c>
      <c r="D263" s="1449">
        <f>Климатология!AE2</f>
        <v>-0.4</v>
      </c>
      <c r="E263" s="1520">
        <v>2.5</v>
      </c>
      <c r="F263" s="1449">
        <f>Климатология!AH2</f>
        <v>632.4</v>
      </c>
      <c r="G263" s="1449">
        <f t="shared" si="40"/>
        <v>542.5</v>
      </c>
      <c r="H263" s="1455">
        <f t="shared" si="35"/>
        <v>1.1657142857142857</v>
      </c>
      <c r="I263" s="1449">
        <f>IF(MONTH(D249)=12,J263-DAY(D249),IF(MONTH(D249)&lt;12,J263,0))</f>
        <v>31</v>
      </c>
      <c r="J263" s="1449">
        <v>31</v>
      </c>
      <c r="K263" s="1456">
        <f t="shared" si="36"/>
        <v>77.5</v>
      </c>
      <c r="L263" s="1360">
        <f t="shared" si="37"/>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3">
      <c r="B264" s="1475"/>
      <c r="C264" s="1365" t="s">
        <v>1286</v>
      </c>
      <c r="D264" s="1450">
        <f>Климатология!F2</f>
        <v>1.2</v>
      </c>
      <c r="E264" s="1433">
        <v>2.7319371727748689</v>
      </c>
      <c r="F264" s="1450">
        <f>Климатология!I2</f>
        <v>3534.4</v>
      </c>
      <c r="G264" s="1457">
        <f>($D$83-E264)*D246</f>
        <v>3298.2</v>
      </c>
      <c r="H264" s="1458">
        <f t="shared" si="35"/>
        <v>1.0716148202049605</v>
      </c>
      <c r="I264" s="1457"/>
      <c r="J264" s="1457"/>
      <c r="K264" s="1459">
        <f>IF(D246&lt;&gt;0,SUM(K252:K263)/D246,"")</f>
        <v>2.7319371727748689</v>
      </c>
      <c r="L264" s="1360">
        <f t="shared" si="37"/>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 thickBot="1" x14ac:dyDescent="0.35">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5">
      <c r="A266" s="1292"/>
      <c r="B266" s="1476">
        <f>6/8</f>
        <v>0.75</v>
      </c>
      <c r="C266" s="1583" t="s">
        <v>1317</v>
      </c>
      <c r="D266" s="1584"/>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3">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3">
      <c r="B268" s="1475"/>
      <c r="C268" s="1366" t="s">
        <v>1838</v>
      </c>
      <c r="D268" s="1366" t="s">
        <v>1839</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3">
      <c r="B270" s="1477">
        <f>B263+1</f>
        <v>152</v>
      </c>
      <c r="C270" s="1368">
        <v>2127.39</v>
      </c>
      <c r="D270" s="1368">
        <v>3.74</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3">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3">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5">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4">
      <c r="B274" s="1476">
        <f>7/8</f>
        <v>0.875</v>
      </c>
      <c r="C274" s="1599" t="s">
        <v>1643</v>
      </c>
      <c r="D274" s="1599"/>
      <c r="E274" s="1599"/>
      <c r="F274" s="159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3">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292"/>
      <c r="B278" s="1475"/>
      <c r="C278" s="1370">
        <v>3</v>
      </c>
      <c r="D278" s="14" t="s">
        <v>1639</v>
      </c>
      <c r="E278" s="1461" t="str">
        <f>IF(AND(E67="Введено верно"),"","Ошибки во вводе объемно-планировочных характеристик")</f>
        <v/>
      </c>
      <c r="F278" s="1462" t="str">
        <f t="shared" ref="F278:F288" si="41">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292"/>
      <c r="B279" s="1475"/>
      <c r="C279" s="1370">
        <v>4</v>
      </c>
      <c r="D279" s="14" t="s">
        <v>1647</v>
      </c>
      <c r="E279" s="1461" t="str">
        <f>IF(D179="","","Введите температурный график (поля 99-100)")</f>
        <v/>
      </c>
      <c r="F279" s="1462" t="str">
        <f t="shared" si="41"/>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292"/>
      <c r="B281" s="1475"/>
      <c r="C281" s="1370">
        <v>6</v>
      </c>
      <c r="D281" s="14" t="s">
        <v>1841</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1"/>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1"/>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292"/>
      <c r="B284" s="1475"/>
      <c r="C284" s="1528">
        <v>9</v>
      </c>
      <c r="D284" s="14" t="s">
        <v>1943</v>
      </c>
      <c r="E284" s="1461" t="str">
        <f>IF(SUM(D159,D154,D150,D146,D140,H131:H135)=0,"Введите мощность приборов освещения и/или насосов, лифтов","")</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292"/>
      <c r="B285" s="1475"/>
      <c r="C285" s="1528">
        <v>10</v>
      </c>
      <c r="D285" s="14" t="s">
        <v>1641</v>
      </c>
      <c r="E285" s="1461" t="str">
        <f>IF(AND(D67="",F23="",F24=""),"","МКД не подходит для программы из-за доли нежилых помещений или отсутствия в них ИПУ электроэнергии")</f>
        <v/>
      </c>
      <c r="F285" s="1462" t="str">
        <f>IF(E285="","Ошибок нет","")</f>
        <v>Ошибок нет</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292"/>
      <c r="B286" s="1475"/>
      <c r="C286" s="1528">
        <v>11</v>
      </c>
      <c r="D286" s="14" t="s">
        <v>1648</v>
      </c>
      <c r="E286" s="1461" t="str">
        <f>CONCATENATE(D247,E247)</f>
        <v/>
      </c>
      <c r="F286" s="1462" t="str">
        <f t="shared" si="41"/>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3">
      <c r="A287" s="1292"/>
      <c r="B287" s="1475"/>
      <c r="C287" s="1528">
        <v>12</v>
      </c>
      <c r="D287" s="14" t="s">
        <v>1646</v>
      </c>
      <c r="E287" s="1461" t="str">
        <f>IF(OR(AND(I252&gt;0,E252=""),AND(I253&gt;0,E253=""),AND(I254&gt;0,E254=""),AND(I255&gt;0,E255=""),AND(I256&gt;0,E256=""),AND(I257&gt;0,E257=""),AND(I258&gt;0,E258=""),AND(I259&gt;0,E259=""),AND(I260&gt;0,E260=""),AND(I261&gt;0,E261=""),AND(I262&gt;0,E262=""),AND(I263&gt;0,E263=""),E264=""),"Неполный ввод температуры по месяцам!","")</f>
        <v/>
      </c>
      <c r="F287" s="1462" t="str">
        <f t="shared" si="41"/>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2" customFormat="1" ht="25.5" customHeight="1" x14ac:dyDescent="0.3">
      <c r="A288" s="1292"/>
      <c r="B288" s="1475"/>
      <c r="C288" s="1528">
        <v>13</v>
      </c>
      <c r="D288" s="14" t="s">
        <v>1644</v>
      </c>
      <c r="E288" s="1461" t="str">
        <f>IF(E270="","","Введите тарифы")</f>
        <v/>
      </c>
      <c r="F288" s="1462" t="str">
        <f t="shared" si="41"/>
        <v>Введено верно</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ht="18" x14ac:dyDescent="0.35">
      <c r="B289" s="1475"/>
      <c r="C289" s="19"/>
      <c r="D289" s="1369" t="s">
        <v>1840</v>
      </c>
      <c r="E289" s="1463" t="str">
        <f>IF(AND(E288="",E277="",E276="",E285="",E282="",E280="",E278="",E284="",E287="",E281="",E279="",E286="",E283=""),"Ошибок нет","Исправьте ошибки ввода")</f>
        <v>Ошибок нет</v>
      </c>
      <c r="F289" s="490"/>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s="17" customFormat="1" x14ac:dyDescent="0.3">
      <c r="A290" s="1292"/>
      <c r="B290" s="1479">
        <f>IF(E289="Ошибок нет",1,0)</f>
        <v>1</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57.75" customHeight="1" thickBot="1" x14ac:dyDescent="0.5">
      <c r="B291" s="1475"/>
      <c r="C291" s="1546"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v>
      </c>
      <c r="D291" s="1546"/>
      <c r="E291" s="1546"/>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ht="24" thickBot="1" x14ac:dyDescent="0.5">
      <c r="B292" s="1476" t="str">
        <f>IF(E289="Ошибок нет","8/8","?/?")</f>
        <v>8/8</v>
      </c>
      <c r="C292" s="1582" t="str">
        <f>IF(AND(E289="Ошибок нет",C291=""),"ГОТОВО!   Переходите на лист "&amp;CHAR(34)&amp;"Список мероприятий"&amp;CHAR(34),"")</f>
        <v/>
      </c>
      <c r="D292" s="1582"/>
      <c r="E292" s="1582"/>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3">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3">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3">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3">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3">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3">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3">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3">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3">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3">
      <c r="B302" s="1475"/>
      <c r="C302" s="74"/>
      <c r="D302" s="74"/>
      <c r="E302" s="74"/>
      <c r="F302" s="74"/>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3">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3">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3">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3">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3">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3">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row r="316" spans="2:34" x14ac:dyDescent="0.3">
      <c r="B316" s="1475"/>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row>
  </sheetData>
  <sheetProtection algorithmName="SHA-512" hashValue="YqLilHvC4sVpE99L63ClL8xQ2sxBB22C7Lgp7MRACqRVd1vkezZ4df7D7mfdPYKevl/ur0zmXuGYhCByn1xzAA==" saltValue="PdO97M+0OWQ7A9wGfJah/Q==" spinCount="100000"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2:E292"/>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1:E291"/>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29" priority="24">
      <formula>$D$15&lt;&gt;"выберите ниже"</formula>
    </cfRule>
  </conditionalFormatting>
  <conditionalFormatting sqref="E289">
    <cfRule type="expression" dxfId="128" priority="23">
      <formula>$E$289="Исправьте ошибки ввода"</formula>
    </cfRule>
  </conditionalFormatting>
  <conditionalFormatting sqref="D83">
    <cfRule type="expression" dxfId="127" priority="22">
      <formula>$D$83=""</formula>
    </cfRule>
  </conditionalFormatting>
  <conditionalFormatting sqref="D84">
    <cfRule type="expression" dxfId="126" priority="21">
      <formula>$D$84=""</formula>
    </cfRule>
  </conditionalFormatting>
  <conditionalFormatting sqref="D85">
    <cfRule type="expression" dxfId="125" priority="19">
      <formula>$D$85=""</formula>
    </cfRule>
  </conditionalFormatting>
  <conditionalFormatting sqref="D131:D135 F131:F135">
    <cfRule type="containsBlanks" dxfId="124" priority="18">
      <formula>LEN(TRIM(D131))=0</formula>
    </cfRule>
  </conditionalFormatting>
  <conditionalFormatting sqref="I131:I135">
    <cfRule type="containsBlanks" dxfId="123" priority="17">
      <formula>LEN(TRIM(I131))=0</formula>
    </cfRule>
  </conditionalFormatting>
  <conditionalFormatting sqref="D107:D112">
    <cfRule type="containsBlanks" dxfId="122" priority="16">
      <formula>LEN(TRIM(D107))=0</formula>
    </cfRule>
  </conditionalFormatting>
  <conditionalFormatting sqref="D14 D16">
    <cfRule type="containsBlanks" dxfId="121" priority="15">
      <formula>LEN(TRIM(D14))=0</formula>
    </cfRule>
  </conditionalFormatting>
  <conditionalFormatting sqref="E43">
    <cfRule type="expression" dxfId="120"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9"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8" priority="9">
      <formula>LEN(TRIM(D10))=0</formula>
    </cfRule>
  </conditionalFormatting>
  <conditionalFormatting sqref="C107">
    <cfRule type="containsBlanks" dxfId="117"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60960</xdr:rowOff>
                  </from>
                  <to>
                    <xdr:col>3</xdr:col>
                    <xdr:colOff>1051560</xdr:colOff>
                    <xdr:row>26</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26</xdr:row>
                    <xdr:rowOff>68580</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123</xdr:row>
                    <xdr:rowOff>7620</xdr:rowOff>
                  </from>
                  <to>
                    <xdr:col>2</xdr:col>
                    <xdr:colOff>1668780</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22860</xdr:rowOff>
                  </from>
                  <to>
                    <xdr:col>2</xdr:col>
                    <xdr:colOff>3627120</xdr:colOff>
                    <xdr:row>124</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89</xdr:row>
                    <xdr:rowOff>38100</xdr:rowOff>
                  </from>
                  <to>
                    <xdr:col>2</xdr:col>
                    <xdr:colOff>2979420</xdr:colOff>
                    <xdr:row>91</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87</xdr:row>
                    <xdr:rowOff>38100</xdr:rowOff>
                  </from>
                  <to>
                    <xdr:col>2</xdr:col>
                    <xdr:colOff>3756660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87</xdr:row>
                    <xdr:rowOff>45720</xdr:rowOff>
                  </from>
                  <to>
                    <xdr:col>4</xdr:col>
                    <xdr:colOff>4030980</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87</xdr:row>
                    <xdr:rowOff>190500</xdr:rowOff>
                  </from>
                  <to>
                    <xdr:col>4</xdr:col>
                    <xdr:colOff>3893820</xdr:colOff>
                    <xdr:row>89</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89</xdr:row>
                    <xdr:rowOff>60960</xdr:rowOff>
                  </from>
                  <to>
                    <xdr:col>4</xdr:col>
                    <xdr:colOff>3962400</xdr:colOff>
                    <xdr:row>90</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90</xdr:row>
                    <xdr:rowOff>144780</xdr:rowOff>
                  </from>
                  <to>
                    <xdr:col>4</xdr:col>
                    <xdr:colOff>3878580</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22860</xdr:rowOff>
                  </from>
                  <to>
                    <xdr:col>3</xdr:col>
                    <xdr:colOff>1051560</xdr:colOff>
                    <xdr:row>27</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27</xdr:row>
                    <xdr:rowOff>30480</xdr:rowOff>
                  </from>
                  <to>
                    <xdr:col>3</xdr:col>
                    <xdr:colOff>2125980</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87</xdr:row>
                    <xdr:rowOff>182880</xdr:rowOff>
                  </from>
                  <to>
                    <xdr:col>2</xdr:col>
                    <xdr:colOff>2049780</xdr:colOff>
                    <xdr:row>88</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88</xdr:row>
                    <xdr:rowOff>0</xdr:rowOff>
                  </from>
                  <to>
                    <xdr:col>2</xdr:col>
                    <xdr:colOff>2788920</xdr:colOff>
                    <xdr:row>88</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3573780</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3566160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137160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3870960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60960</xdr:rowOff>
                  </from>
                  <to>
                    <xdr:col>4</xdr:col>
                    <xdr:colOff>3680460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101</xdr:row>
                    <xdr:rowOff>38100</xdr:rowOff>
                  </from>
                  <to>
                    <xdr:col>4</xdr:col>
                    <xdr:colOff>3733800</xdr:colOff>
                    <xdr:row>101</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115</xdr:row>
                    <xdr:rowOff>22860</xdr:rowOff>
                  </from>
                  <to>
                    <xdr:col>3</xdr:col>
                    <xdr:colOff>0</xdr:colOff>
                    <xdr:row>120</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115</xdr:row>
                    <xdr:rowOff>152400</xdr:rowOff>
                  </from>
                  <to>
                    <xdr:col>2</xdr:col>
                    <xdr:colOff>3741420</xdr:colOff>
                    <xdr:row>117</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117</xdr:row>
                    <xdr:rowOff>45720</xdr:rowOff>
                  </from>
                  <to>
                    <xdr:col>2</xdr:col>
                    <xdr:colOff>3764280</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118</xdr:row>
                    <xdr:rowOff>45720</xdr:rowOff>
                  </from>
                  <to>
                    <xdr:col>2</xdr:col>
                    <xdr:colOff>3718560</xdr:colOff>
                    <xdr:row>119</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119</xdr:row>
                    <xdr:rowOff>60960</xdr:rowOff>
                  </from>
                  <to>
                    <xdr:col>2</xdr:col>
                    <xdr:colOff>3756660</xdr:colOff>
                    <xdr:row>120</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124</xdr:row>
                    <xdr:rowOff>68580</xdr:rowOff>
                  </from>
                  <to>
                    <xdr:col>2</xdr:col>
                    <xdr:colOff>3764280</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92</xdr:row>
                    <xdr:rowOff>22860</xdr:rowOff>
                  </from>
                  <to>
                    <xdr:col>4</xdr:col>
                    <xdr:colOff>3992880</xdr:colOff>
                    <xdr:row>93</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28</xdr:row>
                    <xdr:rowOff>0</xdr:rowOff>
                  </from>
                  <to>
                    <xdr:col>4</xdr:col>
                    <xdr:colOff>45720</xdr:colOff>
                    <xdr:row>29</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29</xdr:row>
                    <xdr:rowOff>0</xdr:rowOff>
                  </from>
                  <to>
                    <xdr:col>3</xdr:col>
                    <xdr:colOff>2369820</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29</xdr:row>
                    <xdr:rowOff>213360</xdr:rowOff>
                  </from>
                  <to>
                    <xdr:col>4</xdr:col>
                    <xdr:colOff>137160</xdr:colOff>
                    <xdr:row>31</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17</xdr:row>
                    <xdr:rowOff>0</xdr:rowOff>
                  </from>
                  <to>
                    <xdr:col>3</xdr:col>
                    <xdr:colOff>2933700</xdr:colOff>
                    <xdr:row>18</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25</xdr:row>
                    <xdr:rowOff>0</xdr:rowOff>
                  </from>
                  <to>
                    <xdr:col>3</xdr:col>
                    <xdr:colOff>1143000</xdr:colOff>
                    <xdr:row>26</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35</xdr:row>
                    <xdr:rowOff>22860</xdr:rowOff>
                  </from>
                  <to>
                    <xdr:col>4</xdr:col>
                    <xdr:colOff>0</xdr:colOff>
                    <xdr:row>35</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35</xdr:row>
                    <xdr:rowOff>342900</xdr:rowOff>
                  </from>
                  <to>
                    <xdr:col>3</xdr:col>
                    <xdr:colOff>2994660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102</xdr:row>
                    <xdr:rowOff>83820</xdr:rowOff>
                  </from>
                  <to>
                    <xdr:col>4</xdr:col>
                    <xdr:colOff>3810000</xdr:colOff>
                    <xdr:row>102</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данных'!B290:B290</xm:f>
              <xm:sqref>B292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3" activePane="bottomLeft" state="frozen"/>
      <selection pane="bottomLeft" activeCell="I9" sqref="I9:I11"/>
    </sheetView>
  </sheetViews>
  <sheetFormatPr defaultColWidth="9.109375" defaultRowHeight="14.4" x14ac:dyDescent="0.3"/>
  <cols>
    <col min="1" max="2" width="3.44140625" style="75" customWidth="1"/>
    <col min="3" max="3" width="6" style="75" customWidth="1"/>
    <col min="4" max="4" width="55.109375" style="75" customWidth="1"/>
    <col min="5" max="5" width="41.44140625" style="75" customWidth="1"/>
    <col min="6" max="11" width="13.6640625" style="75" customWidth="1"/>
    <col min="12" max="12" width="55.5546875" style="75" customWidth="1"/>
    <col min="13" max="13" width="3.5546875" style="75" customWidth="1"/>
    <col min="14" max="14" width="10.33203125" style="1267" customWidth="1"/>
    <col min="15" max="17" width="7.33203125" style="75" hidden="1" customWidth="1"/>
    <col min="18" max="18" width="8.44140625" style="75" hidden="1" customWidth="1"/>
    <col min="19" max="19" width="9" style="75" hidden="1" customWidth="1"/>
    <col min="20" max="25" width="7.33203125" style="75" hidden="1" customWidth="1"/>
    <col min="26" max="27" width="2.6640625" style="75" hidden="1" customWidth="1"/>
    <col min="28" max="29" width="2.6640625" style="211" hidden="1" customWidth="1"/>
    <col min="30" max="30" width="8.88671875" style="75" hidden="1" customWidth="1"/>
    <col min="31" max="31" width="2.6640625" style="75" hidden="1" customWidth="1"/>
    <col min="32" max="33" width="2.6640625" style="75" customWidth="1"/>
    <col min="34" max="16384" width="9.109375" style="75"/>
  </cols>
  <sheetData>
    <row r="1" spans="1:45" s="43" customFormat="1" ht="15" customHeight="1" x14ac:dyDescent="0.3">
      <c r="A1" s="40"/>
      <c r="B1" s="1683" t="s">
        <v>1661</v>
      </c>
      <c r="C1" s="1683"/>
      <c r="D1" s="1683"/>
      <c r="F1" s="1627" t="s">
        <v>1654</v>
      </c>
      <c r="G1" s="1627"/>
      <c r="H1" s="1627"/>
      <c r="I1" s="42"/>
      <c r="AB1" s="1170"/>
      <c r="AC1" s="1170"/>
    </row>
    <row r="2" spans="1:45" ht="71.25" customHeight="1" x14ac:dyDescent="0.3">
      <c r="A2" s="1379" t="s">
        <v>1842</v>
      </c>
      <c r="B2" s="74"/>
      <c r="C2" s="1667" t="s">
        <v>1476</v>
      </c>
      <c r="D2" s="1667"/>
      <c r="E2" s="1182" t="s">
        <v>1256</v>
      </c>
      <c r="F2" s="1376" t="s">
        <v>1843</v>
      </c>
      <c r="G2" s="1377" t="s">
        <v>1844</v>
      </c>
      <c r="H2" s="1378" t="s">
        <v>1369</v>
      </c>
      <c r="I2" s="1378" t="s">
        <v>1367</v>
      </c>
      <c r="J2" s="1378" t="s">
        <v>1901</v>
      </c>
      <c r="K2" s="1378" t="s">
        <v>1368</v>
      </c>
      <c r="L2" s="1182" t="s">
        <v>1257</v>
      </c>
      <c r="M2" s="74"/>
      <c r="N2" s="74"/>
      <c r="O2" s="1672" t="s">
        <v>1524</v>
      </c>
      <c r="P2" s="1673"/>
      <c r="Q2" s="1674"/>
      <c r="R2" s="1666" t="s">
        <v>1486</v>
      </c>
      <c r="S2" s="1666"/>
      <c r="T2" s="1666" t="s">
        <v>1487</v>
      </c>
      <c r="U2" s="1666"/>
      <c r="V2" s="1671" t="s">
        <v>1488</v>
      </c>
      <c r="W2" s="1671"/>
      <c r="X2" s="1666" t="s">
        <v>1493</v>
      </c>
      <c r="Y2" s="1666"/>
      <c r="Z2" s="74" t="s">
        <v>1503</v>
      </c>
      <c r="AA2" s="1183" t="s">
        <v>894</v>
      </c>
      <c r="AB2" s="1638" t="s">
        <v>896</v>
      </c>
      <c r="AC2" s="1638"/>
      <c r="AD2" s="1184" t="s">
        <v>895</v>
      </c>
      <c r="AF2" s="74"/>
      <c r="AG2" s="74"/>
      <c r="AH2" s="74"/>
      <c r="AI2" s="74"/>
      <c r="AJ2" s="74"/>
      <c r="AK2" s="74"/>
      <c r="AL2" s="74"/>
      <c r="AM2" s="74"/>
      <c r="AN2" s="74"/>
      <c r="AO2" s="74"/>
      <c r="AP2" s="74"/>
      <c r="AQ2" s="74"/>
      <c r="AR2" s="74"/>
      <c r="AS2" s="74"/>
    </row>
    <row r="3" spans="1:45" ht="20.25" customHeight="1" x14ac:dyDescent="0.3">
      <c r="A3" s="74"/>
      <c r="B3" s="74"/>
      <c r="C3" s="74"/>
      <c r="D3" s="1658" t="s">
        <v>1521</v>
      </c>
      <c r="E3" s="1658"/>
      <c r="F3" s="1658"/>
      <c r="G3" s="1658"/>
      <c r="H3" s="1658"/>
      <c r="I3" s="1658"/>
      <c r="J3" s="1658"/>
      <c r="K3" s="1658"/>
      <c r="L3" s="1658"/>
      <c r="M3" s="74"/>
      <c r="N3" s="74"/>
      <c r="O3" s="1668" t="s">
        <v>1523</v>
      </c>
      <c r="P3" s="1669"/>
      <c r="Q3" s="1670"/>
      <c r="R3" s="1666" t="s">
        <v>1486</v>
      </c>
      <c r="S3" s="1666"/>
      <c r="T3" s="1666" t="s">
        <v>1487</v>
      </c>
      <c r="U3" s="1666"/>
      <c r="V3" s="1671" t="s">
        <v>1488</v>
      </c>
      <c r="W3" s="1671"/>
      <c r="X3" s="1666" t="s">
        <v>1493</v>
      </c>
      <c r="Y3" s="1666"/>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3">
      <c r="A4" s="74"/>
      <c r="B4" s="74"/>
      <c r="C4" s="1665"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42%!</v>
      </c>
      <c r="D4" s="1665"/>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5" t="str">
        <f>'Ввод исходных данных'!G206</f>
        <v>Средний на человека расход воды в сутки ниже норматива на -38%.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G4" s="1665"/>
      <c r="H4" s="1665"/>
      <c r="I4" s="1665"/>
      <c r="J4" s="1665"/>
      <c r="K4" s="1665"/>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3">
      <c r="A5" s="74"/>
      <c r="B5" s="74"/>
      <c r="C5" s="74"/>
      <c r="D5" s="1658" t="s">
        <v>1522</v>
      </c>
      <c r="E5" s="1658"/>
      <c r="F5" s="1658"/>
      <c r="G5" s="1658"/>
      <c r="H5" s="1658"/>
      <c r="I5" s="1658"/>
      <c r="J5" s="1658"/>
      <c r="K5" s="1658"/>
      <c r="L5" s="1658"/>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6" x14ac:dyDescent="0.3">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0.5633934613926157</v>
      </c>
      <c r="T6" s="1194"/>
      <c r="U6" s="1195">
        <f>U7+U31+U36</f>
        <v>0</v>
      </c>
      <c r="V6" s="1194"/>
      <c r="W6" s="1196">
        <f>W7+W31+W36+W18+W54+W60+W71</f>
        <v>0.42862196558224375</v>
      </c>
      <c r="X6" s="1196"/>
      <c r="Y6" s="1196">
        <f>Y54+Y71+Y31</f>
        <v>-6.4081164840291818E-2</v>
      </c>
      <c r="Z6" s="74"/>
      <c r="AA6" s="74"/>
      <c r="AB6" s="1171"/>
      <c r="AC6" s="1172"/>
      <c r="AD6" s="75">
        <f>SUM(AD8:AD77)</f>
        <v>0</v>
      </c>
      <c r="AF6" s="74"/>
      <c r="AG6" s="74"/>
      <c r="AH6" s="74"/>
      <c r="AI6" s="74"/>
      <c r="AJ6" s="74"/>
      <c r="AK6" s="74"/>
      <c r="AL6" s="74"/>
      <c r="AM6" s="74"/>
      <c r="AN6" s="74"/>
      <c r="AO6" s="74"/>
      <c r="AP6" s="74"/>
      <c r="AQ6" s="74"/>
      <c r="AR6" s="74"/>
      <c r="AS6" s="74"/>
    </row>
    <row r="7" spans="1:45" ht="15.6" x14ac:dyDescent="0.3">
      <c r="A7" s="1190" t="str">
        <f>IF(SUM(AD8:AD15)&gt;0,"Ошибка","")</f>
        <v/>
      </c>
      <c r="B7" s="74"/>
      <c r="C7" s="1191"/>
      <c r="D7" s="1192" t="s">
        <v>1424</v>
      </c>
      <c r="E7" s="1182"/>
      <c r="F7" s="1193"/>
      <c r="G7" s="1193"/>
      <c r="H7" s="1193"/>
      <c r="I7" s="1193"/>
      <c r="J7" s="1193"/>
      <c r="K7" s="1193"/>
      <c r="L7" s="1182"/>
      <c r="M7" s="74"/>
      <c r="N7" s="74"/>
      <c r="O7" s="1198">
        <f>SUM(O9,O12,O14)</f>
        <v>289.09366284778565</v>
      </c>
      <c r="P7" s="1198"/>
      <c r="Q7" s="1198"/>
      <c r="R7" s="1199">
        <f>O7/'Расчет базового уровня'!$D$35*1163</f>
        <v>0.26915233926241927</v>
      </c>
      <c r="S7" s="1200">
        <f>R7</f>
        <v>0.26915233926241927</v>
      </c>
      <c r="T7" s="1201"/>
      <c r="U7" s="1201"/>
      <c r="V7" s="1199">
        <f>(O7+P7)/'Расчет базового уровня'!$D$9*1163</f>
        <v>0.20476738301249497</v>
      </c>
      <c r="W7" s="1202">
        <f>(S7*'Расчет базового уровня'!$D$35+'Список мероприятий'!U7*'Расчет базового уровня'!$D$15)/'Расчет базового уровня'!$D$9</f>
        <v>0.20476738301249497</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3">
      <c r="A8" s="1204" t="str">
        <f>IF(OR(AND(AA8=0,AB8=1),AND(AA8=1,AB8=0)),"Ошибка","")</f>
        <v/>
      </c>
      <c r="B8" s="74"/>
      <c r="C8" s="1205"/>
      <c r="D8" s="1206" t="s">
        <v>1291</v>
      </c>
      <c r="E8" s="1628" t="s">
        <v>1848</v>
      </c>
      <c r="F8" s="1380" t="s">
        <v>1845</v>
      </c>
      <c r="G8" s="1380" t="s">
        <v>1310</v>
      </c>
      <c r="H8" s="1380" t="s">
        <v>1309</v>
      </c>
      <c r="I8" s="1380" t="s">
        <v>1309</v>
      </c>
      <c r="J8" s="1380" t="s">
        <v>1309</v>
      </c>
      <c r="K8" s="1380" t="s">
        <v>1309</v>
      </c>
      <c r="L8" s="1643"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3">
      <c r="A9" s="1204" t="str">
        <f>IF(OR(AND(AA9=0,AC9=TRUE)),"Ошибка","")</f>
        <v/>
      </c>
      <c r="B9" s="74"/>
      <c r="C9" s="1205"/>
      <c r="D9" s="1208" t="s">
        <v>1922</v>
      </c>
      <c r="E9" s="1655"/>
      <c r="F9" s="1685">
        <f>'Расчет базового уровня'!B134</f>
        <v>4038.8</v>
      </c>
      <c r="G9" s="1632">
        <v>3476.68</v>
      </c>
      <c r="H9" s="1635">
        <f>I9+J9+K9</f>
        <v>14042302.27</v>
      </c>
      <c r="I9" s="1634"/>
      <c r="J9" s="1634">
        <v>14042302.27</v>
      </c>
      <c r="K9" s="1634"/>
      <c r="L9" s="1644"/>
      <c r="M9" s="74"/>
      <c r="N9" s="74"/>
      <c r="O9" s="1207">
        <f>IF(AB9=1,0.024*'Расчет после реализации'!D147*'Расчет после реализации'!B134*(1/'Расчет базового уровня'!C134-1/'Расчет после реализации'!C134),0)/1163</f>
        <v>289.09366284778565</v>
      </c>
      <c r="P9" s="1207"/>
      <c r="Q9" s="1207"/>
      <c r="R9" s="1209">
        <f>O9*1163/'Расчет базового уровня'!$D$35</f>
        <v>0.26915233926241927</v>
      </c>
      <c r="S9" s="1210">
        <f>R9</f>
        <v>0.26915233926241927</v>
      </c>
      <c r="T9" s="1189"/>
      <c r="U9" s="1189"/>
      <c r="V9" s="1209">
        <f>(O9+P9)*1163/'Расчет базового уровня'!$D$9</f>
        <v>0.204767383012495</v>
      </c>
      <c r="W9" s="1211">
        <f>(S9*'Расчет базового уровня'!$D$35+'Список мероприятий'!U9*'Расчет базового уровня'!$D$15)/'Расчет базового уровня'!$D$9</f>
        <v>0.20476738301249497</v>
      </c>
      <c r="X9" s="1211"/>
      <c r="Y9" s="1211"/>
      <c r="Z9" s="74">
        <f>IF(AB9-H9=1,1,0)</f>
        <v>0</v>
      </c>
      <c r="AA9" s="1203">
        <f>IF(AND('Ввод исходных данных'!$D$12&lt;2000),1,0)</f>
        <v>1</v>
      </c>
      <c r="AB9" s="1175">
        <f>IF(AND(AC9=TRUE,AA9=1),1,0)</f>
        <v>1</v>
      </c>
      <c r="AC9" s="1176" t="b">
        <v>1</v>
      </c>
      <c r="AD9" s="1203">
        <f>IF(AND(AA9=1,A9="ОШИБКА"),1,0)</f>
        <v>0</v>
      </c>
      <c r="AE9" s="75" t="str">
        <f>IF(AB9=1,CONCATENATE(D8," - ",D10," - ",D11,"см",CHAR(10)),"")</f>
        <v xml:space="preserve">Повышение теплозащиты наружных стен - минеральная вата (штукатурный фасад) - 30см
</v>
      </c>
      <c r="AF9" s="74"/>
      <c r="AG9" s="74"/>
      <c r="AH9" s="74"/>
      <c r="AI9" s="74"/>
      <c r="AJ9" s="74"/>
      <c r="AK9" s="74"/>
      <c r="AL9" s="74"/>
      <c r="AM9" s="74"/>
      <c r="AN9" s="74"/>
      <c r="AO9" s="74"/>
      <c r="AP9" s="74"/>
      <c r="AQ9" s="74"/>
      <c r="AR9" s="74"/>
      <c r="AS9" s="74"/>
    </row>
    <row r="10" spans="1:45" ht="15" customHeight="1" x14ac:dyDescent="0.3">
      <c r="A10" s="1204" t="str">
        <f>IF(OR(AND(AA10=0,AB10=1),AND(AA10=1,AB10=0)),"Ошибка","")</f>
        <v/>
      </c>
      <c r="B10" s="74"/>
      <c r="C10" s="1205"/>
      <c r="D10" s="1279" t="s">
        <v>1248</v>
      </c>
      <c r="E10" s="1655"/>
      <c r="F10" s="1686"/>
      <c r="G10" s="1688"/>
      <c r="H10" s="1635"/>
      <c r="I10" s="1634"/>
      <c r="J10" s="1634"/>
      <c r="K10" s="1634"/>
      <c r="L10" s="1644"/>
      <c r="M10" s="74"/>
      <c r="N10" s="74"/>
      <c r="O10" s="1207"/>
      <c r="P10" s="1207"/>
      <c r="Q10" s="1207"/>
      <c r="R10" s="1189"/>
      <c r="S10" s="1189"/>
      <c r="T10" s="1189"/>
      <c r="U10" s="1189"/>
      <c r="V10" s="1189"/>
      <c r="W10" s="1189"/>
      <c r="X10" s="1189"/>
      <c r="Y10" s="1189"/>
      <c r="Z10" s="74"/>
      <c r="AA10" s="1203">
        <f>IF(AND('Ввод исходных данных'!$D$12&lt;2000,AB9=1),1,0)</f>
        <v>1</v>
      </c>
      <c r="AB10" s="1175">
        <f>IF(D10="Пожалуйста, выберите технологию",0,1)</f>
        <v>1</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3">
      <c r="A11" s="1204" t="str">
        <f>IF(OR(AND(AA11=0,AB11=1),AND(AA11=1,AB11=0)),"Ошибка","")</f>
        <v/>
      </c>
      <c r="B11" s="74"/>
      <c r="C11" s="1205"/>
      <c r="D11" s="1279">
        <v>30</v>
      </c>
      <c r="E11" s="1655"/>
      <c r="F11" s="1687"/>
      <c r="G11" s="1633"/>
      <c r="H11" s="1635"/>
      <c r="I11" s="1634"/>
      <c r="J11" s="1634"/>
      <c r="K11" s="1634"/>
      <c r="L11" s="1645"/>
      <c r="M11" s="74"/>
      <c r="N11" s="74"/>
      <c r="O11" s="1207"/>
      <c r="P11" s="1207"/>
      <c r="Q11" s="1207"/>
      <c r="R11" s="1189"/>
      <c r="S11" s="1189"/>
      <c r="T11" s="1189"/>
      <c r="U11" s="1189"/>
      <c r="V11" s="1189"/>
      <c r="W11" s="1189"/>
      <c r="X11" s="1189"/>
      <c r="Y11" s="1189"/>
      <c r="Z11" s="74"/>
      <c r="AA11" s="1203">
        <f>IF(AND('Ввод исходных данных'!$D$12&lt;2000,AB9=1),1,0)</f>
        <v>1</v>
      </c>
      <c r="AB11" s="1175">
        <f>IF(D11="Пожалуйста, выберите толщину утеплителя, см",0,1)</f>
        <v>1</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3">
      <c r="A12" s="1204" t="str">
        <f>IF(OR(AND(AA12=0,AC12=TRUE)),"Ошибка","")</f>
        <v/>
      </c>
      <c r="B12" s="74"/>
      <c r="C12" s="1205"/>
      <c r="D12" s="1206" t="s">
        <v>1923</v>
      </c>
      <c r="E12" s="1629"/>
      <c r="F12" s="1276">
        <f>F9</f>
        <v>4038.8</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0</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3">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3">
      <c r="A14" s="1204" t="str">
        <f>IF(AND(AA14=0,AC14=TRUE),"Ошибка","")</f>
        <v/>
      </c>
      <c r="B14" s="74"/>
      <c r="C14" s="1205"/>
      <c r="D14" s="1214" t="s">
        <v>1924</v>
      </c>
      <c r="E14" s="1628" t="s">
        <v>1846</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3">
      <c r="A15" s="1204" t="str">
        <f>IF(OR(AND(AA15=0,AB15=1),AND(AA15=1,AB15=0)),"Ошибка","")</f>
        <v/>
      </c>
      <c r="B15" s="74"/>
      <c r="C15" s="1205"/>
      <c r="D15" s="1281" t="s">
        <v>1271</v>
      </c>
      <c r="E15" s="1629"/>
      <c r="F15" s="1275">
        <f>'Ввод исходных данных'!G55</f>
        <v>81</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3">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 customHeight="1" x14ac:dyDescent="0.3">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6" x14ac:dyDescent="0.3">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3">
      <c r="A19" s="1204" t="str">
        <f>IF(AND(AA19=0,AB19=1),"Ошибка","")</f>
        <v/>
      </c>
      <c r="B19" s="74"/>
      <c r="C19" s="1205"/>
      <c r="D19" s="1214"/>
      <c r="E19" s="1628" t="s">
        <v>1847</v>
      </c>
      <c r="F19" s="1380" t="s">
        <v>1845</v>
      </c>
      <c r="G19" s="1380" t="s">
        <v>1310</v>
      </c>
      <c r="H19" s="1380" t="s">
        <v>1309</v>
      </c>
      <c r="I19" s="1380" t="s">
        <v>1309</v>
      </c>
      <c r="J19" s="1380" t="s">
        <v>1309</v>
      </c>
      <c r="K19" s="1380" t="s">
        <v>1309</v>
      </c>
      <c r="L19" s="1640"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3">
      <c r="A20" s="1204" t="str">
        <f>IF(AND(AA20=0,AC20=TRUE),"Ошибка","")</f>
        <v/>
      </c>
      <c r="B20" s="74"/>
      <c r="C20" s="1205"/>
      <c r="D20" s="1208" t="s">
        <v>1925</v>
      </c>
      <c r="E20" s="1655"/>
      <c r="F20" s="1639">
        <f>'Расчет базового уровня'!B138</f>
        <v>1069.4000000000001</v>
      </c>
      <c r="G20" s="1634"/>
      <c r="H20" s="1635">
        <f>I20+J20+K20</f>
        <v>0</v>
      </c>
      <c r="I20" s="1634"/>
      <c r="J20" s="1634">
        <f>IF(AB20=1,G20*F20,0)</f>
        <v>0</v>
      </c>
      <c r="K20" s="1634"/>
      <c r="L20" s="1641"/>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1</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3">
      <c r="A21" s="1204" t="str">
        <f>IF(OR(AND(AA21=0,AB21=1),AND(AA21=1,AB21=0)),"Ошибка","")</f>
        <v/>
      </c>
      <c r="B21" s="74"/>
      <c r="C21" s="1205"/>
      <c r="D21" s="1280" t="s">
        <v>1269</v>
      </c>
      <c r="E21" s="1655"/>
      <c r="F21" s="1634"/>
      <c r="G21" s="1634"/>
      <c r="H21" s="1635"/>
      <c r="I21" s="1634"/>
      <c r="J21" s="1634"/>
      <c r="K21" s="1634"/>
      <c r="L21" s="1641"/>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3">
      <c r="A22" s="1204" t="str">
        <f>IF(OR(AND(AA22=0,AB22=1),AND(AA22=1,AB22=0)),"Ошибка","")</f>
        <v/>
      </c>
      <c r="B22" s="74"/>
      <c r="C22" s="1205"/>
      <c r="D22" s="1280" t="s">
        <v>1268</v>
      </c>
      <c r="E22" s="1629"/>
      <c r="F22" s="1634"/>
      <c r="G22" s="1634"/>
      <c r="H22" s="1635"/>
      <c r="I22" s="1634"/>
      <c r="J22" s="1634"/>
      <c r="K22" s="1634"/>
      <c r="L22" s="1642"/>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3">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3">
      <c r="A24" s="1204" t="str">
        <f>IF(AND(AA24=0,AB24=1),"Ошибка","")</f>
        <v/>
      </c>
      <c r="B24" s="74"/>
      <c r="C24" s="1205"/>
      <c r="D24" s="1217" t="s">
        <v>1926</v>
      </c>
      <c r="E24" s="1239" t="s">
        <v>1849</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0</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3">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3">
      <c r="A26" s="1204" t="str">
        <f>IF(AND(AA26=0,AB26=1),"Ошибка","")</f>
        <v/>
      </c>
      <c r="B26" s="74"/>
      <c r="C26" s="1205"/>
      <c r="D26" s="1214" t="s">
        <v>1292</v>
      </c>
      <c r="E26" s="1628" t="s">
        <v>1849</v>
      </c>
      <c r="F26" s="1380" t="s">
        <v>1845</v>
      </c>
      <c r="G26" s="1380" t="s">
        <v>1310</v>
      </c>
      <c r="H26" s="1380" t="s">
        <v>1309</v>
      </c>
      <c r="I26" s="1380" t="s">
        <v>1309</v>
      </c>
      <c r="J26" s="1380" t="s">
        <v>1309</v>
      </c>
      <c r="K26" s="1380" t="s">
        <v>1309</v>
      </c>
      <c r="L26" s="1643"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3">
      <c r="A27" s="1204" t="str">
        <f>IF(AND(AA27=0,AC27=TRUE),"Ошибка","")</f>
        <v/>
      </c>
      <c r="B27" s="74"/>
      <c r="C27" s="1205"/>
      <c r="D27" s="1208" t="s">
        <v>1927</v>
      </c>
      <c r="E27" s="1655"/>
      <c r="F27" s="1639">
        <f>'Расчет базового уровня'!B139+'Расчет базового уровня'!B140</f>
        <v>0</v>
      </c>
      <c r="G27" s="1639">
        <v>0</v>
      </c>
      <c r="H27" s="1635">
        <f>I27+J27+K27</f>
        <v>0</v>
      </c>
      <c r="I27" s="1634"/>
      <c r="J27" s="1634">
        <f>IF(AB27=1,G27*F27,0)</f>
        <v>0</v>
      </c>
      <c r="K27" s="1634"/>
      <c r="L27" s="1644"/>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3">
      <c r="A28" s="1204" t="str">
        <f>IF(OR(AND(AA28=0,AB28=1),AND(AA28=1,AB28=0)),"Ошибка","")</f>
        <v/>
      </c>
      <c r="B28" s="74"/>
      <c r="C28" s="1205"/>
      <c r="D28" s="1279" t="s">
        <v>1269</v>
      </c>
      <c r="E28" s="1655"/>
      <c r="F28" s="1634"/>
      <c r="G28" s="1634"/>
      <c r="H28" s="1635"/>
      <c r="I28" s="1634"/>
      <c r="J28" s="1634"/>
      <c r="K28" s="1634"/>
      <c r="L28" s="1644"/>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3">
      <c r="A29" s="1204" t="str">
        <f>IF(OR(AND(AA29=0,AB29=1),AND(AA29=1,AB29=0)),"Ошибка","")</f>
        <v/>
      </c>
      <c r="B29" s="74"/>
      <c r="C29" s="1205"/>
      <c r="D29" s="1279" t="s">
        <v>1268</v>
      </c>
      <c r="E29" s="1629"/>
      <c r="F29" s="1634"/>
      <c r="G29" s="1634"/>
      <c r="H29" s="1635"/>
      <c r="I29" s="1634"/>
      <c r="J29" s="1634"/>
      <c r="K29" s="1634"/>
      <c r="L29" s="1645"/>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3">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28.8" x14ac:dyDescent="0.3">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-1056.5702458867315</v>
      </c>
      <c r="R31" s="1224">
        <f>R32+R34+R35</f>
        <v>0.29424112213019649</v>
      </c>
      <c r="S31" s="1224">
        <f>S32+S34+S35</f>
        <v>0.29424112213019649</v>
      </c>
      <c r="T31" s="1225"/>
      <c r="U31" s="1224">
        <f>U32+U34+U35</f>
        <v>0</v>
      </c>
      <c r="V31" s="1225"/>
      <c r="W31" s="1224">
        <f>W32+W34+W35</f>
        <v>0.22385458256974874</v>
      </c>
      <c r="X31" s="1224">
        <f>X32</f>
        <v>-6.4081164840291818E-2</v>
      </c>
      <c r="Y31" s="1224">
        <f>Y32</f>
        <v>-6.4081164840291818E-2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3">
      <c r="A32" s="1204" t="str">
        <f>IF(AND(AA32=0,AB32=1),"Ошибка","")</f>
        <v/>
      </c>
      <c r="B32" s="74"/>
      <c r="C32" s="1221"/>
      <c r="D32" s="1228" t="s">
        <v>1928</v>
      </c>
      <c r="E32" s="1681" t="s">
        <v>1850</v>
      </c>
      <c r="F32" s="1634">
        <v>1100000</v>
      </c>
      <c r="G32" s="1639">
        <v>1</v>
      </c>
      <c r="H32" s="1635">
        <f>I32+J32+K32</f>
        <v>1100000</v>
      </c>
      <c r="I32" s="1634"/>
      <c r="J32" s="1634">
        <f>IF(AB32=1,G32*F32,0)</f>
        <v>1100000</v>
      </c>
      <c r="K32" s="1634"/>
      <c r="L32" s="1664"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316.04125749070988</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-1056.5702458867315</v>
      </c>
      <c r="R32" s="1209">
        <f>O32/'Расчет базового уровня'!$D$35*1163</f>
        <v>0.29424112213019649</v>
      </c>
      <c r="S32" s="1210">
        <f>R32</f>
        <v>0.29424112213019649</v>
      </c>
      <c r="T32" s="1209">
        <f>IF('Система ГВС'!F3=2,0,P32/'Расчет базового уровня'!$D$85*1163)</f>
        <v>0</v>
      </c>
      <c r="U32" s="1210">
        <f>T32*(1-U39)</f>
        <v>0</v>
      </c>
      <c r="V32" s="1209">
        <f>(O32+P32)/'Расчет базового уровня'!$D$9*1163</f>
        <v>0.22385458256974874</v>
      </c>
      <c r="W32" s="1211">
        <f>(S32*'Расчет базового уровня'!$D$35+'Список мероприятий'!U32*'Расчет базового уровня'!$D$15)/'Расчет базового уровня'!$D$9</f>
        <v>0.22385458256974874</v>
      </c>
      <c r="X32" s="1209">
        <f>Q32/'Расчет базового уровня'!$D$100</f>
        <v>-6.4081164840291818E-2</v>
      </c>
      <c r="Y32" s="1211">
        <f>X32</f>
        <v>-6.4081164840291818E-2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AF32" s="74"/>
      <c r="AG32" s="74"/>
      <c r="AH32" s="74"/>
      <c r="AI32" s="74"/>
      <c r="AJ32" s="74"/>
      <c r="AK32" s="74"/>
      <c r="AL32" s="74"/>
      <c r="AM32" s="74"/>
      <c r="AN32" s="74"/>
      <c r="AO32" s="74"/>
      <c r="AP32" s="74"/>
      <c r="AQ32" s="74"/>
      <c r="AR32" s="74"/>
      <c r="AS32" s="74"/>
    </row>
    <row r="33" spans="1:45" ht="61.5" customHeight="1" x14ac:dyDescent="0.3">
      <c r="A33" s="1204" t="str">
        <f>IF(AND(AB32=1,AB33=0),"Ошибка","")</f>
        <v/>
      </c>
      <c r="B33" s="74"/>
      <c r="C33" s="1429" t="str">
        <f>IF(AB32=1,"Выберите тип узла","")</f>
        <v>Выберите тип узла</v>
      </c>
      <c r="D33" s="1278" t="s">
        <v>1267</v>
      </c>
      <c r="E33" s="1682"/>
      <c r="F33" s="1634"/>
      <c r="G33" s="1634"/>
      <c r="H33" s="1635"/>
      <c r="I33" s="1634"/>
      <c r="J33" s="1634"/>
      <c r="K33" s="1634"/>
      <c r="L33" s="1657"/>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48" x14ac:dyDescent="0.3">
      <c r="A34" s="1204" t="str">
        <f>IF(AND(AA34=0,AC34=TRUE),"Ошибка","")</f>
        <v/>
      </c>
      <c r="B34" s="74"/>
      <c r="C34" s="1221"/>
      <c r="D34" s="1229" t="s">
        <v>1942</v>
      </c>
      <c r="E34" s="1230" t="s">
        <v>1482</v>
      </c>
      <c r="F34" s="1275"/>
      <c r="G34" s="1275"/>
      <c r="H34" s="1277">
        <f>I34+J34+K34</f>
        <v>0</v>
      </c>
      <c r="I34" s="1275"/>
      <c r="J34" s="1275"/>
      <c r="K34" s="1275"/>
      <c r="L34" s="1231" t="s">
        <v>1851</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0</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3">
      <c r="A35" s="1204" t="str">
        <f>IF(AND(AA35=0,AB35=1),"Ошибка","")</f>
        <v/>
      </c>
      <c r="B35" s="74"/>
      <c r="C35" s="1221"/>
      <c r="D35" s="1232" t="s">
        <v>1929</v>
      </c>
      <c r="E35" s="1230" t="s">
        <v>1483</v>
      </c>
      <c r="F35" s="1275"/>
      <c r="G35" s="1275"/>
      <c r="H35" s="1509">
        <f>I35+J35+K35</f>
        <v>0</v>
      </c>
      <c r="I35" s="1275"/>
      <c r="J35" s="1275">
        <f>F35*G35</f>
        <v>0</v>
      </c>
      <c r="K35" s="1275"/>
      <c r="L35" s="1231" t="s">
        <v>1852</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0</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3">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0</v>
      </c>
      <c r="T36" s="1225"/>
      <c r="U36" s="1235">
        <f>U37+U38+U39</f>
        <v>0</v>
      </c>
      <c r="V36" s="1225"/>
      <c r="W36" s="1235">
        <f>W37+W38+W39</f>
        <v>0</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3">
      <c r="A37" s="1204" t="str">
        <f>IF(AND(AA37=0,AB37=1),"Ошибка","")</f>
        <v/>
      </c>
      <c r="B37" s="74"/>
      <c r="C37" s="1221"/>
      <c r="D37" s="1236" t="s">
        <v>1295</v>
      </c>
      <c r="E37" s="1230" t="s">
        <v>1854</v>
      </c>
      <c r="F37" s="1276"/>
      <c r="G37" s="1275"/>
      <c r="H37" s="1382">
        <f>I37+J37+K37</f>
        <v>0</v>
      </c>
      <c r="I37" s="1276"/>
      <c r="J37" s="1508">
        <f>IF(AB37=1,G37*F37,0)</f>
        <v>0</v>
      </c>
      <c r="K37" s="1276"/>
      <c r="L37" s="946"/>
      <c r="M37" s="74"/>
      <c r="N37" s="74"/>
      <c r="O37" s="1207">
        <f>IF(AB37=1,('Расчет базового уровня'!D158-'Расчет после реализации'!D158)*'Расчет базового уровня'!D13,0)</f>
        <v>0</v>
      </c>
      <c r="P37" s="1237"/>
      <c r="Q37" s="1237"/>
      <c r="R37" s="1211">
        <f>O37/'Расчет базового уровня'!$D$35/0.86*1000</f>
        <v>0</v>
      </c>
      <c r="S37" s="1211">
        <f>R37*(1-R31-S18-S7-S60-S71)</f>
        <v>0</v>
      </c>
      <c r="T37" s="1189"/>
      <c r="U37" s="1189"/>
      <c r="V37" s="1209">
        <f>(O37+P37)/'Расчет базового уровня'!$D$9/0.86*1000</f>
        <v>0</v>
      </c>
      <c r="W37" s="1211">
        <f>(S37*'Расчет базового уровня'!$D$35+'Список мероприятий'!U37*'Расчет базового уровня'!$D$15)/'Расчет базового уровня'!$D$9</f>
        <v>0</v>
      </c>
      <c r="X37" s="1211"/>
      <c r="Y37" s="1211"/>
      <c r="Z37" s="74">
        <f>IF(AB37-H37=1,1,0)</f>
        <v>0</v>
      </c>
      <c r="AA37" s="1203">
        <v>1</v>
      </c>
      <c r="AB37" s="1175">
        <f>IF(AC37=TRUE,1,0)</f>
        <v>0</v>
      </c>
      <c r="AC37" s="1176" t="b">
        <v>0</v>
      </c>
      <c r="AD37" s="1203">
        <f>IF(AND(AA37=1,A37="ОШИБКА"),1,0)</f>
        <v>0</v>
      </c>
      <c r="AE37" s="75" t="str">
        <f>IF(AB37=1,CONCATENATE(D37,CHAR(10)),"")</f>
        <v/>
      </c>
      <c r="AF37" s="74"/>
      <c r="AG37" s="74"/>
      <c r="AH37" s="74"/>
      <c r="AI37" s="74"/>
      <c r="AJ37" s="74"/>
      <c r="AK37" s="74"/>
      <c r="AL37" s="74"/>
      <c r="AM37" s="74"/>
      <c r="AN37" s="74"/>
      <c r="AO37" s="74"/>
      <c r="AP37" s="74"/>
      <c r="AQ37" s="74"/>
      <c r="AR37" s="74"/>
      <c r="AS37" s="74"/>
    </row>
    <row r="38" spans="1:45" ht="101.4" customHeight="1" x14ac:dyDescent="0.3">
      <c r="A38" s="1204" t="str">
        <f>IF(AND(AA38=0,AC38=TRUE),"Ошибка","")</f>
        <v/>
      </c>
      <c r="B38" s="74"/>
      <c r="C38" s="1221"/>
      <c r="D38" s="1238" t="s">
        <v>1930</v>
      </c>
      <c r="E38" s="1230" t="s">
        <v>1855</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3">
      <c r="A39" s="1204" t="str">
        <f>IF(AND(AA39=0,AC39=TRUE),"Ошибка","")</f>
        <v/>
      </c>
      <c r="B39" s="74"/>
      <c r="C39" s="1221"/>
      <c r="D39" s="1228" t="s">
        <v>1931</v>
      </c>
      <c r="E39" s="1239" t="s">
        <v>1273</v>
      </c>
      <c r="F39" s="1275"/>
      <c r="G39" s="1275"/>
      <c r="H39" s="1277">
        <f>I39+J39+K39</f>
        <v>0</v>
      </c>
      <c r="I39" s="1275"/>
      <c r="J39" s="1275"/>
      <c r="K39" s="1275"/>
      <c r="L39" s="1231" t="s">
        <v>1877</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0</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3">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3">
      <c r="A41" s="1240"/>
      <c r="B41" s="74"/>
      <c r="C41" s="1221"/>
      <c r="D41" s="1273">
        <f>'Ввод исходных данных'!G49+'Серии планировка'!AB76</f>
        <v>218.6</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3">
      <c r="A42" s="1242" t="str">
        <f>IF(AND(AA42=0,AB42=1),"Ошибка","")</f>
        <v/>
      </c>
      <c r="B42" s="74"/>
      <c r="C42" s="1221"/>
      <c r="D42" s="1214" t="s">
        <v>1276</v>
      </c>
      <c r="E42" s="1383" t="s">
        <v>1853</v>
      </c>
      <c r="F42" s="1275"/>
      <c r="G42" s="1275"/>
      <c r="H42" s="1277">
        <f>H43+H44+H45</f>
        <v>0</v>
      </c>
      <c r="I42" s="1275"/>
      <c r="J42" s="1275"/>
      <c r="K42" s="1275"/>
      <c r="L42" s="1624" t="s">
        <v>1878</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3">
      <c r="A43" s="1242" t="str">
        <f>IF(AND(AA43=0,AC43=TRUE),"Ошибка","")</f>
        <v/>
      </c>
      <c r="B43" s="74"/>
      <c r="C43" s="1243"/>
      <c r="D43" s="1244" t="s">
        <v>1350</v>
      </c>
      <c r="E43" s="1245"/>
      <c r="F43" s="1275"/>
      <c r="G43" s="1275"/>
      <c r="H43" s="1430">
        <f t="shared" ref="H43:H45" si="0">I43+J43+K43</f>
        <v>0</v>
      </c>
      <c r="I43" s="1275"/>
      <c r="J43" s="1275"/>
      <c r="K43" s="1275"/>
      <c r="L43" s="1625"/>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3">
      <c r="A44" s="1242" t="str">
        <f>IF(AND(AA44=0,AC44=TRUE),"Ошибка","")</f>
        <v/>
      </c>
      <c r="B44" s="74"/>
      <c r="C44" s="1243"/>
      <c r="D44" s="1244" t="s">
        <v>541</v>
      </c>
      <c r="E44" s="1245"/>
      <c r="F44" s="1275"/>
      <c r="G44" s="1275"/>
      <c r="H44" s="1430">
        <f t="shared" si="0"/>
        <v>0</v>
      </c>
      <c r="I44" s="1275"/>
      <c r="J44" s="1275"/>
      <c r="K44" s="1275"/>
      <c r="L44" s="1625"/>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3">
      <c r="A45" s="1242" t="str">
        <f>IF(AND(AA45=0,AC45=TRUE),"Ошибка","")</f>
        <v/>
      </c>
      <c r="B45" s="74"/>
      <c r="C45" s="1243"/>
      <c r="D45" s="1244" t="s">
        <v>1351</v>
      </c>
      <c r="E45" s="1245"/>
      <c r="F45" s="1275"/>
      <c r="G45" s="1275"/>
      <c r="H45" s="1430">
        <f t="shared" si="0"/>
        <v>0</v>
      </c>
      <c r="I45" s="1275"/>
      <c r="J45" s="1275"/>
      <c r="K45" s="1275"/>
      <c r="L45" s="1626"/>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3">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57.6" x14ac:dyDescent="0.3">
      <c r="A47" s="1242" t="str">
        <f>IF(AND(AA47=0,AB47=1),"Ошибка","")</f>
        <v/>
      </c>
      <c r="B47" s="74"/>
      <c r="C47" s="1221"/>
      <c r="D47" s="1246" t="s">
        <v>1383</v>
      </c>
      <c r="E47" s="1383" t="s">
        <v>1853</v>
      </c>
      <c r="F47" s="1275"/>
      <c r="G47" s="1275"/>
      <c r="H47" s="1430">
        <f>H48+H49+H50</f>
        <v>0</v>
      </c>
      <c r="I47" s="1275"/>
      <c r="J47" s="1275"/>
      <c r="K47" s="1275"/>
      <c r="L47" s="1659" t="s">
        <v>1879</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3">
      <c r="A48" s="1242" t="str">
        <f>IF(AND(AA48=0,AC48=TRUE),"Ошибка","")</f>
        <v/>
      </c>
      <c r="B48" s="74"/>
      <c r="C48" s="1243"/>
      <c r="D48" s="1244" t="s">
        <v>1350</v>
      </c>
      <c r="E48" s="1245"/>
      <c r="F48" s="1275"/>
      <c r="G48" s="1275"/>
      <c r="H48" s="1430">
        <f t="shared" ref="H48:H50" si="2">I48+J48+K48</f>
        <v>0</v>
      </c>
      <c r="I48" s="1275"/>
      <c r="J48" s="1275"/>
      <c r="K48" s="1275"/>
      <c r="L48" s="1660"/>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3">
      <c r="A49" s="1242" t="str">
        <f>IF(AND(AA49=0,AC49=TRUE),"Ошибка","")</f>
        <v/>
      </c>
      <c r="B49" s="74"/>
      <c r="C49" s="1243"/>
      <c r="D49" s="1244" t="s">
        <v>541</v>
      </c>
      <c r="E49" s="1245"/>
      <c r="F49" s="1275"/>
      <c r="G49" s="1275"/>
      <c r="H49" s="1430">
        <f t="shared" si="2"/>
        <v>0</v>
      </c>
      <c r="I49" s="1275"/>
      <c r="J49" s="1275"/>
      <c r="K49" s="1275"/>
      <c r="L49" s="1660"/>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3">
      <c r="A50" s="1242" t="str">
        <f>IF(AND(AA50=0,AC50=TRUE),"Ошибка","")</f>
        <v/>
      </c>
      <c r="B50" s="74"/>
      <c r="C50" s="1243"/>
      <c r="D50" s="1244" t="s">
        <v>1351</v>
      </c>
      <c r="E50" s="1245"/>
      <c r="F50" s="1275"/>
      <c r="G50" s="1275"/>
      <c r="H50" s="1430">
        <f t="shared" si="2"/>
        <v>0</v>
      </c>
      <c r="I50" s="1275"/>
      <c r="J50" s="1275"/>
      <c r="K50" s="1275"/>
      <c r="L50" s="1661"/>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3">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28.8" x14ac:dyDescent="0.3">
      <c r="A52" s="1242" t="str">
        <f>IF(AND(AA52=0,AC52=TRUE),"Ошибка","")</f>
        <v/>
      </c>
      <c r="B52" s="74"/>
      <c r="C52" s="1221"/>
      <c r="D52" s="1247" t="s">
        <v>1932</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1</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3">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6" x14ac:dyDescent="0.3">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 customHeight="1" x14ac:dyDescent="0.3">
      <c r="A55" s="1242" t="str">
        <f>IF(AND(AA55=0,AC55=TRUE),"Ошибка","")</f>
        <v/>
      </c>
      <c r="B55" s="74"/>
      <c r="C55" s="1249"/>
      <c r="D55" s="1247" t="s">
        <v>1933</v>
      </c>
      <c r="E55" s="1628" t="s">
        <v>1856</v>
      </c>
      <c r="F55" s="1282"/>
      <c r="G55" s="1282"/>
      <c r="H55" s="1430">
        <f>I55+J55+K55</f>
        <v>0</v>
      </c>
      <c r="I55" s="1282"/>
      <c r="J55" s="1282"/>
      <c r="K55" s="1282"/>
      <c r="L55" s="1653"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3">
      <c r="A56" s="1242" t="str">
        <f>IF(AND(AA56=0,AC56=TRUE),"Ошибка","")</f>
        <v/>
      </c>
      <c r="B56" s="74"/>
      <c r="C56" s="1249"/>
      <c r="D56" s="1247" t="s">
        <v>1934</v>
      </c>
      <c r="E56" s="1629"/>
      <c r="F56" s="1632"/>
      <c r="G56" s="1632"/>
      <c r="H56" s="1636">
        <f>I56+J56+K56</f>
        <v>0</v>
      </c>
      <c r="I56" s="1632"/>
      <c r="J56" s="1632"/>
      <c r="K56" s="1632"/>
      <c r="L56" s="1654"/>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3">
      <c r="A57" s="1242"/>
      <c r="B57" s="74"/>
      <c r="C57" s="1384" t="s">
        <v>1862</v>
      </c>
      <c r="D57" s="1385"/>
      <c r="E57" s="1245" t="s">
        <v>1880</v>
      </c>
      <c r="F57" s="1633"/>
      <c r="G57" s="1633"/>
      <c r="H57" s="1637"/>
      <c r="I57" s="1633"/>
      <c r="J57" s="1633"/>
      <c r="K57" s="1633"/>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28.8" x14ac:dyDescent="0.3">
      <c r="A58" s="1242" t="str">
        <f>IF(AND(AA58=0,AC58=TRUE),"Ошибка","")</f>
        <v/>
      </c>
      <c r="B58" s="74"/>
      <c r="C58" s="1249"/>
      <c r="D58" s="1247" t="s">
        <v>1935</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3">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6" x14ac:dyDescent="0.3">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3">
      <c r="A61" s="1204" t="str">
        <f>IF(AND(AA61=0,AB61=1),"Ошибка","")</f>
        <v/>
      </c>
      <c r="B61" s="74"/>
      <c r="C61" s="1205"/>
      <c r="D61" s="1214" t="s">
        <v>1293</v>
      </c>
      <c r="E61" s="1628" t="s">
        <v>1857</v>
      </c>
      <c r="F61" s="1380" t="s">
        <v>1845</v>
      </c>
      <c r="G61" s="1380" t="s">
        <v>1310</v>
      </c>
      <c r="H61" s="1380" t="s">
        <v>1309</v>
      </c>
      <c r="I61" s="1380" t="s">
        <v>1309</v>
      </c>
      <c r="J61" s="1380" t="s">
        <v>1309</v>
      </c>
      <c r="K61" s="1380" t="s">
        <v>1309</v>
      </c>
      <c r="L61" s="1653"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3">
      <c r="A62" s="1204" t="str">
        <f>IF(AND(AA62=0,AC62=TRUE),"Ошибка","")</f>
        <v/>
      </c>
      <c r="B62" s="74"/>
      <c r="C62" s="1205"/>
      <c r="D62" s="1208" t="s">
        <v>1936</v>
      </c>
      <c r="E62" s="1655"/>
      <c r="F62" s="1639">
        <f>'Расчет базового уровня'!B141</f>
        <v>1069.4000000000001</v>
      </c>
      <c r="G62" s="1639">
        <v>1069.4000000000001</v>
      </c>
      <c r="H62" s="1635">
        <f>I62+J62+K62</f>
        <v>0</v>
      </c>
      <c r="I62" s="1634"/>
      <c r="J62" s="1634">
        <f>IF(AB62=1,G62*F62,0)</f>
        <v>0</v>
      </c>
      <c r="K62" s="1634"/>
      <c r="L62" s="1656"/>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1</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3">
      <c r="A63" s="1204" t="str">
        <f>IF(OR(AND(AA63=0,AB63=1),AND(AA63=1,AB63=0)),"Ошибка","")</f>
        <v/>
      </c>
      <c r="B63" s="74"/>
      <c r="C63" s="1205"/>
      <c r="D63" s="1279" t="s">
        <v>1269</v>
      </c>
      <c r="E63" s="1655"/>
      <c r="F63" s="1634"/>
      <c r="G63" s="1634"/>
      <c r="H63" s="1635"/>
      <c r="I63" s="1634"/>
      <c r="J63" s="1634"/>
      <c r="K63" s="1634"/>
      <c r="L63" s="1656"/>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3">
      <c r="A64" s="1204" t="str">
        <f>IF(OR(AND(AA64=0,AB64=1),AND(AA64=1,AB64=0)),"Ошибка","")</f>
        <v/>
      </c>
      <c r="B64" s="74"/>
      <c r="C64" s="1205"/>
      <c r="D64" s="1279" t="s">
        <v>1268</v>
      </c>
      <c r="E64" s="1629"/>
      <c r="F64" s="1634"/>
      <c r="G64" s="1634"/>
      <c r="H64" s="1635"/>
      <c r="I64" s="1634"/>
      <c r="J64" s="1634"/>
      <c r="K64" s="1634"/>
      <c r="L64" s="1657"/>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3">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3">
      <c r="A66" s="1204" t="str">
        <f>IF(AND(AA66=0,AB66=1),"Ошибка","")</f>
        <v/>
      </c>
      <c r="B66" s="74"/>
      <c r="C66" s="1205"/>
      <c r="D66" s="1206" t="s">
        <v>1294</v>
      </c>
      <c r="E66" s="1628" t="s">
        <v>1272</v>
      </c>
      <c r="F66" s="1380" t="s">
        <v>1845</v>
      </c>
      <c r="G66" s="1380" t="s">
        <v>1310</v>
      </c>
      <c r="H66" s="1380" t="s">
        <v>1309</v>
      </c>
      <c r="I66" s="1380" t="s">
        <v>1309</v>
      </c>
      <c r="J66" s="1380" t="s">
        <v>1309</v>
      </c>
      <c r="K66" s="1380" t="s">
        <v>1309</v>
      </c>
      <c r="L66" s="1653"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3">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55"/>
      <c r="F67" s="1639">
        <f>'Расчет базового уровня'!B142</f>
        <v>0</v>
      </c>
      <c r="G67" s="1639">
        <v>0</v>
      </c>
      <c r="H67" s="1635">
        <f>I67+J67+K67</f>
        <v>0</v>
      </c>
      <c r="I67" s="1634"/>
      <c r="J67" s="1634">
        <f>IF(AB67=1,G67*F67,0)</f>
        <v>0</v>
      </c>
      <c r="K67" s="1634"/>
      <c r="L67" s="1656"/>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3">
      <c r="A68" s="1204" t="str">
        <f>IF(OR(AND(AA68=0,AB68=1),AND(AA68=1,AB68=0)),"Ошибка","")</f>
        <v/>
      </c>
      <c r="B68" s="74"/>
      <c r="C68" s="1205"/>
      <c r="D68" s="1280" t="s">
        <v>1269</v>
      </c>
      <c r="E68" s="1655"/>
      <c r="F68" s="1634"/>
      <c r="G68" s="1634"/>
      <c r="H68" s="1635"/>
      <c r="I68" s="1634"/>
      <c r="J68" s="1634"/>
      <c r="K68" s="1634"/>
      <c r="L68" s="1656"/>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3">
      <c r="A69" s="1204" t="str">
        <f>IF(OR(AND(AA69=0,AB69=1),AND(AA69=1,AB69=0)),"Ошибка","")</f>
        <v/>
      </c>
      <c r="B69" s="74"/>
      <c r="C69" s="1205"/>
      <c r="D69" s="1279" t="s">
        <v>1268</v>
      </c>
      <c r="E69" s="1629"/>
      <c r="F69" s="1634"/>
      <c r="G69" s="1634"/>
      <c r="H69" s="1635"/>
      <c r="I69" s="1634"/>
      <c r="J69" s="1634"/>
      <c r="K69" s="1634"/>
      <c r="L69" s="1657"/>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3">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6" x14ac:dyDescent="0.3">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3">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3">
      <c r="A73" s="1204" t="str">
        <f>IF(AND(AA73=0,AC73=TRUE),"Ошибка","")</f>
        <v/>
      </c>
      <c r="B73" s="74"/>
      <c r="C73" s="1003"/>
      <c r="D73" s="1214" t="s">
        <v>1937</v>
      </c>
      <c r="E73" s="1218" t="s">
        <v>1858</v>
      </c>
      <c r="F73" s="1275">
        <f>'Ввод исходных данных'!G65</f>
        <v>3</v>
      </c>
      <c r="G73" s="1275"/>
      <c r="H73" s="1277">
        <f>I73+J73+K73</f>
        <v>0</v>
      </c>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1</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3.2" x14ac:dyDescent="0.3">
      <c r="A74" s="1204" t="str">
        <f>IF(AND(AA74=0,AC74=TRUE),"Ошибка","")</f>
        <v/>
      </c>
      <c r="B74" s="74"/>
      <c r="C74" s="1003"/>
      <c r="D74" s="1206" t="s">
        <v>1938</v>
      </c>
      <c r="E74" s="1628" t="s">
        <v>1296</v>
      </c>
      <c r="F74" s="1634"/>
      <c r="G74" s="1634"/>
      <c r="H74" s="1635">
        <f>I74+J74+K74</f>
        <v>0</v>
      </c>
      <c r="I74" s="1634"/>
      <c r="J74" s="1634">
        <f>IF(AB74=1,G74*F74,0)</f>
        <v>0</v>
      </c>
      <c r="K74" s="1634"/>
      <c r="L74" s="1630"/>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3">
      <c r="A75" s="1242"/>
      <c r="B75" s="74"/>
      <c r="C75" s="1003"/>
      <c r="D75" s="1283" t="s">
        <v>979</v>
      </c>
      <c r="E75" s="1629"/>
      <c r="F75" s="1634"/>
      <c r="G75" s="1634"/>
      <c r="H75" s="1635"/>
      <c r="I75" s="1634"/>
      <c r="J75" s="1634"/>
      <c r="K75" s="1634"/>
      <c r="L75" s="1631"/>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3">
      <c r="A76" s="1204" t="str">
        <f>IF(AND(AA76=0,AC76=TRUE),"Ошибка","")</f>
        <v/>
      </c>
      <c r="B76" s="74"/>
      <c r="C76" s="1003"/>
      <c r="D76" s="1206" t="s">
        <v>1939</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3">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3">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4" x14ac:dyDescent="0.45">
      <c r="A79" s="74"/>
      <c r="B79" s="1684" t="str">
        <f>IF(AND('Список мероприятий'!$AB$32=0,'Система отопления'!F5=0,'Система отопления'!F6=0),"Необходимо выбрать установку АУУ СО или АИТП","")</f>
        <v/>
      </c>
      <c r="C79" s="1684"/>
      <c r="D79" s="1684"/>
      <c r="E79" s="1684"/>
      <c r="F79" s="1684"/>
      <c r="G79" s="1684"/>
      <c r="H79" s="1684"/>
      <c r="I79" s="1684"/>
      <c r="J79" s="1684"/>
      <c r="K79" s="1684"/>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5">
      <c r="A80" s="74"/>
      <c r="B80" s="1652"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данных'!E289="Исправьте ошибки ввода","Есть ошибки ввода исходных данных",""))</f>
        <v xml:space="preserve">ВЫБРАННЫЕ МЕРОПРИЯТИЯ: </v>
      </c>
      <c r="C80" s="1652"/>
      <c r="D80" s="1652"/>
      <c r="E80" s="1652"/>
      <c r="F80" s="1652"/>
      <c r="G80" s="1652"/>
      <c r="H80" s="1652"/>
      <c r="I80" s="1652"/>
      <c r="J80" s="1652"/>
      <c r="K80" s="1652"/>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5">
      <c r="A81" s="74"/>
      <c r="B81" s="1649" t="str">
        <f>IF(списки!C53=1,CONCATENATE(AE9,AE12,AE14,AE20,AE24,AE27,AE37,AE38,AE39,AE42,AE47,AE52,AE32,AE34,AE35,AE55,AE56,AE58,AE62,AE67,AE73,AE74,AE76),"")</f>
        <v xml:space="preserve">Повышение теплозащиты наружных стен - минеральная вата (штукатурный фасад) - 30см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C81" s="1650"/>
      <c r="D81" s="1650"/>
      <c r="E81" s="1650"/>
      <c r="F81" s="1650"/>
      <c r="G81" s="1650"/>
      <c r="H81" s="1650"/>
      <c r="I81" s="1650"/>
      <c r="J81" s="1650"/>
      <c r="K81" s="1651"/>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3">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5">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3">
      <c r="A84" s="74"/>
      <c r="B84" s="74"/>
      <c r="C84" s="74"/>
      <c r="D84" s="1261" t="s">
        <v>834</v>
      </c>
      <c r="E84" s="1269" t="s">
        <v>1353</v>
      </c>
      <c r="F84" s="1262" t="s">
        <v>868</v>
      </c>
      <c r="G84" s="1662" t="s">
        <v>869</v>
      </c>
      <c r="H84" s="1662"/>
      <c r="I84" s="1662"/>
      <c r="J84" s="1663"/>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3">
      <c r="A85" s="74"/>
      <c r="B85" s="74"/>
      <c r="C85" s="74"/>
      <c r="D85" s="1646" t="s">
        <v>1354</v>
      </c>
      <c r="E85" s="1647"/>
      <c r="F85" s="1647"/>
      <c r="G85" s="1647"/>
      <c r="H85" s="1647"/>
      <c r="I85" s="1647"/>
      <c r="J85" s="1648"/>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3">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15142302.27</v>
      </c>
      <c r="G86" s="1618"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данных'!E289="Исправьте ошибки ввода","Есть ошибки ввода исходных данных",""))</f>
        <v/>
      </c>
      <c r="H86" s="1619"/>
      <c r="I86" s="1619"/>
      <c r="J86" s="1620"/>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28.8" x14ac:dyDescent="0.3">
      <c r="A87" s="74"/>
      <c r="B87" s="74"/>
      <c r="C87" s="74"/>
      <c r="D87" s="1398" t="s">
        <v>1633</v>
      </c>
      <c r="E87" s="1399" t="s">
        <v>1356</v>
      </c>
      <c r="F87" s="1426">
        <f>IF(списки!C51=1,"",F86/'Экономический расчет'!C27)</f>
        <v>1908.0041165797234</v>
      </c>
      <c r="G87" s="1621"/>
      <c r="H87" s="1622"/>
      <c r="I87" s="1622"/>
      <c r="J87" s="1623"/>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16.2" x14ac:dyDescent="0.3">
      <c r="A88" s="74"/>
      <c r="B88" s="74"/>
      <c r="C88" s="74"/>
      <c r="D88" s="1398" t="s">
        <v>1859</v>
      </c>
      <c r="E88" s="1399" t="s">
        <v>1356</v>
      </c>
      <c r="F88" s="1426">
        <f>IF(списки!C51=1,"",F86/('Ввод исходных данных'!G45+'Ввод исходных данных'!D23))</f>
        <v>2215.6008237738502</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28.8" x14ac:dyDescent="0.3">
      <c r="A89" s="74"/>
      <c r="B89" s="74"/>
      <c r="C89" s="74"/>
      <c r="D89" s="1398" t="s">
        <v>1881</v>
      </c>
      <c r="E89" s="1399" t="s">
        <v>1309</v>
      </c>
      <c r="F89" s="1426">
        <f>IF(списки!C53=0,"",'Экономический расчет'!C19-'Экономический расчет'!D19)</f>
        <v>1348295.7808802247</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3">
      <c r="A90" s="74"/>
      <c r="B90" s="74"/>
      <c r="C90" s="74"/>
      <c r="D90" s="1388" t="s">
        <v>1860</v>
      </c>
      <c r="E90" s="1399" t="s">
        <v>1181</v>
      </c>
      <c r="F90" s="1427">
        <f>'Экономический расчет'!C36</f>
        <v>0.43987975726253259</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3">
      <c r="A91" s="74"/>
      <c r="B91" s="74"/>
      <c r="C91" s="74"/>
      <c r="D91" s="1388" t="s">
        <v>1357</v>
      </c>
      <c r="E91" s="1399" t="s">
        <v>1358</v>
      </c>
      <c r="F91" s="1428">
        <f>IF(списки!C51=1,"",'Экономический расчет'!C37)</f>
        <v>11.230697659021423</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3">
      <c r="A92" s="74"/>
      <c r="B92" s="74"/>
      <c r="C92" s="74"/>
      <c r="D92" s="1646" t="s">
        <v>1359</v>
      </c>
      <c r="E92" s="1647"/>
      <c r="F92" s="1647"/>
      <c r="G92" s="1647"/>
      <c r="H92" s="1647"/>
      <c r="I92" s="1647"/>
      <c r="J92" s="1648"/>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3">
      <c r="A93" s="74"/>
      <c r="B93" s="74"/>
      <c r="C93" s="74"/>
      <c r="D93" s="1394" t="s">
        <v>1360</v>
      </c>
      <c r="E93" s="1389" t="s">
        <v>1184</v>
      </c>
      <c r="F93" s="1421">
        <f>IF(списки!C53=0,"",'Экономический расчет'!E20)</f>
        <v>634.04213416620132</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3">
      <c r="A94" s="74"/>
      <c r="B94" s="74"/>
      <c r="C94" s="74"/>
      <c r="D94" s="1395" t="s">
        <v>1361</v>
      </c>
      <c r="E94" s="1396" t="s">
        <v>842</v>
      </c>
      <c r="F94" s="1422">
        <f>IF(списки!C53=0,"",'Экономический расчет'!E23)</f>
        <v>-149.49596887979351</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3">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149.4959688797926</v>
      </c>
      <c r="G95" s="1678" t="s">
        <v>1363</v>
      </c>
      <c r="H95" s="1679"/>
      <c r="I95" s="1679"/>
      <c r="J95" s="1680"/>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3">
      <c r="A96" s="74"/>
      <c r="B96" s="74"/>
      <c r="C96" s="74"/>
      <c r="D96" s="1397" t="s">
        <v>1364</v>
      </c>
      <c r="E96" s="1396" t="s">
        <v>842</v>
      </c>
      <c r="F96" s="1422">
        <f>IF(списки!C53=0,"",'Расчет после реализации'!D7)</f>
        <v>737241.5060664122</v>
      </c>
      <c r="G96" s="1675"/>
      <c r="H96" s="1676"/>
      <c r="I96" s="1676"/>
      <c r="J96" s="1677"/>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6.2" x14ac:dyDescent="0.3">
      <c r="A97" s="74"/>
      <c r="B97" s="74"/>
      <c r="C97" s="74"/>
      <c r="D97" s="1397" t="s">
        <v>1365</v>
      </c>
      <c r="E97" s="1396" t="s">
        <v>1366</v>
      </c>
      <c r="F97" s="1424">
        <f>IF(списки!C53=0,"",F96/('Ввод исходных данных'!G45+'Ввод исходных данных'!$G$23))</f>
        <v>107.87216230633446</v>
      </c>
      <c r="G97" s="1675"/>
      <c r="H97" s="1676"/>
      <c r="I97" s="1676"/>
      <c r="J97" s="1677"/>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3">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3">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3">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3">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3">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3">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3">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3">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3">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3">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3">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3">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3">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3">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3">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3">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3">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3">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3">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3">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3">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3">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3">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3">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3">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3">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3">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3">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3">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3">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3">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3">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3">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3">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3">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3">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3">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3">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3">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3">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3">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3">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3">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3">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3">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3">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3">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3">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3">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3">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3">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3">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3">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3">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3">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3">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3">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3">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3">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3">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3">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3">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3">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3">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3">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3">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3">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3">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3">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3">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3">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3">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3">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3">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3">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3">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3">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3">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3">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3">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znE5feXk/VBsCHaPUGiorJwh8GZ5PBsRrqoLdaCk1/88CHPybki3P8iiaIRoek1VxWakcBGb0HRSc2wfEF7yzA==" saltValue="g07TNsAVL//N/oY5DG1MTw=="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5" priority="125">
      <formula>$AA$24=0</formula>
    </cfRule>
  </conditionalFormatting>
  <conditionalFormatting sqref="D14:D15">
    <cfRule type="expression" dxfId="104" priority="126">
      <formula>$AA$14=0</formula>
    </cfRule>
  </conditionalFormatting>
  <conditionalFormatting sqref="D12">
    <cfRule type="expression" dxfId="103" priority="127">
      <formula>$AA$12=0</formula>
    </cfRule>
  </conditionalFormatting>
  <conditionalFormatting sqref="D9:D11 D20:D22 D27:D29 D62:D64 D67:D69 D35 D73">
    <cfRule type="expression" dxfId="102" priority="128">
      <formula>$AA9=0</formula>
    </cfRule>
  </conditionalFormatting>
  <conditionalFormatting sqref="D39 D41">
    <cfRule type="expression" dxfId="101" priority="131">
      <formula>$AA$39=0</formula>
    </cfRule>
  </conditionalFormatting>
  <conditionalFormatting sqref="D74:D75">
    <cfRule type="expression" dxfId="100" priority="132">
      <formula>$AA$74=0</formula>
    </cfRule>
  </conditionalFormatting>
  <conditionalFormatting sqref="D76">
    <cfRule type="expression" dxfId="99" priority="133">
      <formula>$AA$76=0</formula>
    </cfRule>
  </conditionalFormatting>
  <conditionalFormatting sqref="D36">
    <cfRule type="expression" dxfId="98" priority="149">
      <formula>$AA$37=0</formula>
    </cfRule>
  </conditionalFormatting>
  <conditionalFormatting sqref="D42">
    <cfRule type="expression" dxfId="97" priority="150">
      <formula>$AA$42=0</formula>
    </cfRule>
  </conditionalFormatting>
  <conditionalFormatting sqref="D55">
    <cfRule type="expression" dxfId="96" priority="151">
      <formula>$AA$55=0</formula>
    </cfRule>
  </conditionalFormatting>
  <conditionalFormatting sqref="A2">
    <cfRule type="expression" dxfId="95" priority="152">
      <formula>$AD$6&gt;=1</formula>
    </cfRule>
  </conditionalFormatting>
  <conditionalFormatting sqref="D56">
    <cfRule type="expression" dxfId="94" priority="153">
      <formula>$AA$56=0</formula>
    </cfRule>
  </conditionalFormatting>
  <conditionalFormatting sqref="D43">
    <cfRule type="expression" dxfId="93" priority="154">
      <formula>$AA$43=0</formula>
    </cfRule>
  </conditionalFormatting>
  <conditionalFormatting sqref="D44">
    <cfRule type="expression" dxfId="92" priority="155">
      <formula>$AA$44=0</formula>
    </cfRule>
  </conditionalFormatting>
  <conditionalFormatting sqref="D45">
    <cfRule type="expression" dxfId="91" priority="156">
      <formula>$AA$45=0</formula>
    </cfRule>
  </conditionalFormatting>
  <conditionalFormatting sqref="D48">
    <cfRule type="expression" dxfId="90" priority="157">
      <formula>$AA$48=0</formula>
    </cfRule>
  </conditionalFormatting>
  <conditionalFormatting sqref="D49">
    <cfRule type="expression" dxfId="89" priority="158">
      <formula>$AA$49=0</formula>
    </cfRule>
  </conditionalFormatting>
  <conditionalFormatting sqref="D50">
    <cfRule type="expression" dxfId="88" priority="159">
      <formula>$AA$50=0</formula>
    </cfRule>
  </conditionalFormatting>
  <conditionalFormatting sqref="D34">
    <cfRule type="expression" dxfId="87" priority="160">
      <formula>$AA$34=0</formula>
    </cfRule>
  </conditionalFormatting>
  <conditionalFormatting sqref="I9 K9 G9 F9">
    <cfRule type="expression" dxfId="86" priority="161">
      <formula>$AB$9=1</formula>
    </cfRule>
  </conditionalFormatting>
  <conditionalFormatting sqref="G12 I12 K12 F12">
    <cfRule type="expression" dxfId="85" priority="164">
      <formula>$AB$12=1</formula>
    </cfRule>
  </conditionalFormatting>
  <conditionalFormatting sqref="G15 I15 K15 F15">
    <cfRule type="expression" dxfId="84" priority="167">
      <formula>$AB$15=1</formula>
    </cfRule>
  </conditionalFormatting>
  <conditionalFormatting sqref="G20 I20 K20 F20">
    <cfRule type="expression" dxfId="83" priority="170">
      <formula>$AB$20=1</formula>
    </cfRule>
  </conditionalFormatting>
  <conditionalFormatting sqref="I24:K24">
    <cfRule type="expression" dxfId="82" priority="173">
      <formula>$AB$24=1</formula>
    </cfRule>
  </conditionalFormatting>
  <conditionalFormatting sqref="G27 I27 K27 F27">
    <cfRule type="expression" dxfId="81" priority="174">
      <formula>$AB$27=1</formula>
    </cfRule>
  </conditionalFormatting>
  <conditionalFormatting sqref="K62 I62 G62 F62">
    <cfRule type="expression" dxfId="80" priority="177">
      <formula>$AB$62=1</formula>
    </cfRule>
  </conditionalFormatting>
  <conditionalFormatting sqref="G67 I67 F67">
    <cfRule type="expression" dxfId="79" priority="180">
      <formula>$AB$67=1</formula>
    </cfRule>
  </conditionalFormatting>
  <conditionalFormatting sqref="I32 K32 F32:G32">
    <cfRule type="expression" dxfId="78" priority="183">
      <formula>$AB$32=1</formula>
    </cfRule>
  </conditionalFormatting>
  <conditionalFormatting sqref="I34:K34 F34:G34">
    <cfRule type="expression" dxfId="77" priority="189">
      <formula>$AB$34=1</formula>
    </cfRule>
  </conditionalFormatting>
  <conditionalFormatting sqref="I35:K35 F35 G35">
    <cfRule type="expression" dxfId="76" priority="190">
      <formula>$AB$35=1</formula>
    </cfRule>
  </conditionalFormatting>
  <conditionalFormatting sqref="F37:G37 I37 K37">
    <cfRule type="expression" dxfId="75" priority="191">
      <formula>$AB$37=1</formula>
    </cfRule>
  </conditionalFormatting>
  <conditionalFormatting sqref="F38:G38">
    <cfRule type="expression" dxfId="74" priority="194">
      <formula>$AB$38=1</formula>
    </cfRule>
  </conditionalFormatting>
  <conditionalFormatting sqref="I39:K39 F39:G39">
    <cfRule type="expression" dxfId="73" priority="197">
      <formula>$AB$39=1</formula>
    </cfRule>
  </conditionalFormatting>
  <conditionalFormatting sqref="F55:G55 I55:K55">
    <cfRule type="expression" dxfId="72" priority="198">
      <formula>$AB$55=1</formula>
    </cfRule>
  </conditionalFormatting>
  <conditionalFormatting sqref="F56:G57 I56:K56">
    <cfRule type="expression" dxfId="71" priority="199">
      <formula>$AB$56=1</formula>
    </cfRule>
  </conditionalFormatting>
  <conditionalFormatting sqref="I58:K58">
    <cfRule type="expression" dxfId="70" priority="200">
      <formula>$AB$58=1</formula>
    </cfRule>
  </conditionalFormatting>
  <conditionalFormatting sqref="G73 I73 K73 F73">
    <cfRule type="expression" dxfId="69" priority="201">
      <formula>$AB$73=1</formula>
    </cfRule>
  </conditionalFormatting>
  <conditionalFormatting sqref="I74:I75 K74:K75">
    <cfRule type="expression" dxfId="68" priority="204">
      <formula>$AB$74=1</formula>
    </cfRule>
  </conditionalFormatting>
  <conditionalFormatting sqref="F74:G75">
    <cfRule type="expression" dxfId="67" priority="207">
      <formula>$AB$74=1</formula>
    </cfRule>
  </conditionalFormatting>
  <conditionalFormatting sqref="I76 K76">
    <cfRule type="expression" dxfId="66" priority="210">
      <formula>$AB$76=1</formula>
    </cfRule>
  </conditionalFormatting>
  <conditionalFormatting sqref="F52:G52 I52:K52">
    <cfRule type="expression" dxfId="65" priority="211">
      <formula>$AB$52=1</formula>
    </cfRule>
  </conditionalFormatting>
  <conditionalFormatting sqref="I48:K48 F48:G48">
    <cfRule type="expression" dxfId="64" priority="212">
      <formula>$AB$48=1</formula>
    </cfRule>
  </conditionalFormatting>
  <conditionalFormatting sqref="F50:G50 I50:K50">
    <cfRule type="expression" dxfId="63" priority="213">
      <formula>$AB50=1</formula>
    </cfRule>
  </conditionalFormatting>
  <conditionalFormatting sqref="G76">
    <cfRule type="expression" dxfId="62" priority="18">
      <formula>$AB$76=1</formula>
    </cfRule>
  </conditionalFormatting>
  <conditionalFormatting sqref="F67 K67">
    <cfRule type="expression" dxfId="61" priority="17">
      <formula>$AB$67=1</formula>
    </cfRule>
  </conditionalFormatting>
  <conditionalFormatting sqref="K38">
    <cfRule type="expression" dxfId="60" priority="16">
      <formula>$AB$38=1</formula>
    </cfRule>
  </conditionalFormatting>
  <conditionalFormatting sqref="I38">
    <cfRule type="expression" dxfId="59" priority="15">
      <formula>$AB$38=1</formula>
    </cfRule>
  </conditionalFormatting>
  <conditionalFormatting sqref="D41">
    <cfRule type="expression" dxfId="58" priority="9">
      <formula>$AB$39=0</formula>
    </cfRule>
    <cfRule type="expression" dxfId="57" priority="14">
      <formula>$AB$39=1</formula>
    </cfRule>
  </conditionalFormatting>
  <conditionalFormatting sqref="D40">
    <cfRule type="expression" dxfId="56" priority="10">
      <formula>$AB$39=0</formula>
    </cfRule>
    <cfRule type="expression" dxfId="55" priority="12">
      <formula>$AA$39=0</formula>
    </cfRule>
  </conditionalFormatting>
  <conditionalFormatting sqref="D33">
    <cfRule type="expression" dxfId="54" priority="8">
      <formula>$AB$32=0</formula>
    </cfRule>
  </conditionalFormatting>
  <conditionalFormatting sqref="D38">
    <cfRule type="expression" dxfId="53" priority="7">
      <formula>$AA$37=0</formula>
    </cfRule>
  </conditionalFormatting>
  <conditionalFormatting sqref="D52">
    <cfRule type="expression" dxfId="52" priority="6">
      <formula>$AA$52=0</formula>
    </cfRule>
  </conditionalFormatting>
  <conditionalFormatting sqref="F76">
    <cfRule type="expression" dxfId="51" priority="5">
      <formula>$AB$76=1</formula>
    </cfRule>
  </conditionalFormatting>
  <conditionalFormatting sqref="F49:G49 I49:K49">
    <cfRule type="expression" dxfId="50" priority="4">
      <formula>$AB$49=1</formula>
    </cfRule>
  </conditionalFormatting>
  <conditionalFormatting sqref="F45:G45 I45:K45">
    <cfRule type="expression" dxfId="49" priority="3">
      <formula>$AB$45=1</formula>
    </cfRule>
  </conditionalFormatting>
  <conditionalFormatting sqref="F44:G44 I44:K44">
    <cfRule type="expression" dxfId="48" priority="2">
      <formula>$AB$44=1</formula>
    </cfRule>
  </conditionalFormatting>
  <conditionalFormatting sqref="F43:G43 I43:K43">
    <cfRule type="expression" dxfId="47"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68580</xdr:colOff>
                    <xdr:row>7</xdr:row>
                    <xdr:rowOff>220980</xdr:rowOff>
                  </from>
                  <to>
                    <xdr:col>3</xdr:col>
                    <xdr:colOff>403860</xdr:colOff>
                    <xdr:row>9</xdr:row>
                    <xdr:rowOff>22860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2"/>
  <sheetViews>
    <sheetView tabSelected="1" zoomScaleNormal="100" workbookViewId="0">
      <pane ySplit="1" topLeftCell="A17" activePane="bottomLeft" state="frozen"/>
      <selection pane="bottomLeft" activeCell="C19" sqref="C19"/>
    </sheetView>
  </sheetViews>
  <sheetFormatPr defaultColWidth="9.109375" defaultRowHeight="13.8" x14ac:dyDescent="0.3"/>
  <cols>
    <col min="1" max="1" width="9.109375" style="45"/>
    <col min="2" max="2" width="35.5546875" style="45" customWidth="1"/>
    <col min="3" max="3" width="10.44140625" style="45" customWidth="1"/>
    <col min="4" max="4" width="9.88671875" style="45" bestFit="1" customWidth="1"/>
    <col min="5" max="5" width="20.33203125" style="45" customWidth="1"/>
    <col min="6" max="6" width="13" style="45" customWidth="1"/>
    <col min="7" max="7" width="20" style="45" customWidth="1"/>
    <col min="8" max="8" width="9.88671875" style="45" customWidth="1"/>
    <col min="9" max="9" width="10.6640625" style="45" bestFit="1" customWidth="1"/>
    <col min="10" max="11" width="12" style="45" bestFit="1" customWidth="1"/>
    <col min="12" max="16384" width="9.109375" style="45"/>
  </cols>
  <sheetData>
    <row r="1" spans="1:44" s="43" customFormat="1" ht="15" customHeight="1" x14ac:dyDescent="0.3">
      <c r="A1" s="40"/>
      <c r="B1" s="1698" t="s">
        <v>1661</v>
      </c>
      <c r="C1" s="1698"/>
      <c r="D1" s="1698"/>
      <c r="E1" s="1699" t="s">
        <v>1654</v>
      </c>
      <c r="F1" s="1699"/>
      <c r="G1" s="1699"/>
      <c r="H1" s="42"/>
      <c r="I1" s="42"/>
    </row>
    <row r="2" spans="1:44" x14ac:dyDescent="0.3">
      <c r="A2" s="288"/>
      <c r="B2" s="288"/>
      <c r="C2" s="1694" t="s">
        <v>1419</v>
      </c>
      <c r="D2" s="1695"/>
      <c r="E2" s="1696"/>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3">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3">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3">
      <c r="A5" s="289"/>
      <c r="B5" s="290" t="s">
        <v>1501</v>
      </c>
      <c r="C5" s="169" t="s">
        <v>1309</v>
      </c>
      <c r="D5" s="1400">
        <f>'Список мероприятий'!F86</f>
        <v>15142302.27</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3">
      <c r="A6" s="289"/>
      <c r="B6" s="291" t="s">
        <v>1502</v>
      </c>
      <c r="C6" s="169" t="s">
        <v>1309</v>
      </c>
      <c r="D6" s="1401">
        <v>27949519</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3">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3">
      <c r="A8" s="289"/>
      <c r="B8" s="290" t="s">
        <v>1753</v>
      </c>
      <c r="C8" s="169" t="s">
        <v>1754</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3">
      <c r="A9" s="289"/>
      <c r="B9" s="290" t="s">
        <v>1946</v>
      </c>
      <c r="C9" s="169" t="s">
        <v>1181</v>
      </c>
      <c r="D9" s="152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x14ac:dyDescent="0.3">
      <c r="A10" s="289"/>
      <c r="B10" s="290" t="s">
        <v>1947</v>
      </c>
      <c r="C10" s="169" t="s">
        <v>1181</v>
      </c>
      <c r="D10" s="1529">
        <v>9</v>
      </c>
      <c r="E10" s="289" t="str">
        <f>IF(IFERROR(D10,0)=0,"Размер ключевой ставки на сегодня можно узнать на сайте ЦБ РФ: www.cbr.ru","")</f>
        <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ht="27.6" x14ac:dyDescent="0.3">
      <c r="A11" s="289"/>
      <c r="B11" s="292" t="s">
        <v>1321</v>
      </c>
      <c r="C11" s="169" t="s">
        <v>1309</v>
      </c>
      <c r="D11" s="1400">
        <f>IFERROR(E24*D14,"")</f>
        <v>559.1149236104244</v>
      </c>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3">
      <c r="A12" s="289"/>
      <c r="B12" s="1700" t="s">
        <v>1326</v>
      </c>
      <c r="C12" s="1701"/>
      <c r="D12" s="1702"/>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3">
      <c r="A13" s="289"/>
      <c r="B13" s="293" t="s">
        <v>1313</v>
      </c>
      <c r="C13" s="1402" t="s">
        <v>1314</v>
      </c>
      <c r="D13" s="1400">
        <f>'Ввод исходных данных'!C270</f>
        <v>2127.39</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3">
      <c r="A14" s="289"/>
      <c r="B14" s="293" t="s">
        <v>1315</v>
      </c>
      <c r="C14" s="1402" t="s">
        <v>1316</v>
      </c>
      <c r="D14" s="1400">
        <f>'Ввод исходных данных'!D270</f>
        <v>3.74</v>
      </c>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x14ac:dyDescent="0.3">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ht="12" customHeight="1" x14ac:dyDescent="0.3">
      <c r="A16" s="289"/>
      <c r="B16" s="1704" t="s">
        <v>1443</v>
      </c>
      <c r="C16" s="1705"/>
      <c r="D16" s="1705"/>
      <c r="E16" s="1705"/>
      <c r="F16" s="1705"/>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x14ac:dyDescent="0.3">
      <c r="A17" s="289"/>
      <c r="B17" s="293"/>
      <c r="C17" s="1693" t="s">
        <v>1309</v>
      </c>
      <c r="D17" s="1693"/>
      <c r="E17" s="1693"/>
      <c r="F17" s="1693"/>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ht="45.75" customHeight="1" x14ac:dyDescent="0.3">
      <c r="A18" s="289"/>
      <c r="B18" s="293"/>
      <c r="C18" s="1510" t="s">
        <v>1322</v>
      </c>
      <c r="D18" s="1511" t="s">
        <v>1327</v>
      </c>
      <c r="E18" s="1512" t="s">
        <v>1921</v>
      </c>
      <c r="F18" s="1703"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3">
      <c r="A19" s="289"/>
      <c r="B19" s="293" t="s">
        <v>1323</v>
      </c>
      <c r="C19" s="1400">
        <f>C20+C23</f>
        <v>3065146.2328500007</v>
      </c>
      <c r="D19" s="1400">
        <f>D20+D23</f>
        <v>1716850.4519697761</v>
      </c>
      <c r="E19" s="1405"/>
      <c r="F19" s="1703"/>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3">
      <c r="A20" s="289"/>
      <c r="B20" s="1403" t="s">
        <v>1420</v>
      </c>
      <c r="C20" s="1400">
        <f>C21+C22</f>
        <v>3003481.1128500006</v>
      </c>
      <c r="D20" s="1400">
        <f>D21+D22</f>
        <v>1654626.2170461656</v>
      </c>
      <c r="E20" s="1405">
        <f>IF(списки!C53=0,0,E21+E22)</f>
        <v>634.04213416620132</v>
      </c>
      <c r="F20" s="1703"/>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3">
      <c r="A21" s="289"/>
      <c r="B21" s="1404" t="s">
        <v>1324</v>
      </c>
      <c r="C21" s="1400">
        <f>'Расчет базового уровня'!D13*'Экономический расчет'!$D$13</f>
        <v>2285006.9558790675</v>
      </c>
      <c r="D21" s="1400">
        <f>IF(списки!C53=0,0,'Расчет после реализации'!D12/1163*'Экономический расчет'!$D$13)</f>
        <v>936152.06007523264</v>
      </c>
      <c r="E21" s="1405">
        <f>IF(списки!C53=0,0,'Расчет после реализации'!D13/1163)</f>
        <v>634.04213416620132</v>
      </c>
      <c r="F21" s="1703"/>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3">
      <c r="A22" s="289"/>
      <c r="B22" s="1404" t="s">
        <v>1325</v>
      </c>
      <c r="C22" s="1400">
        <f>'Расчет базового уровня'!D16*'Экономический расчет'!$D$13</f>
        <v>718474.15697093296</v>
      </c>
      <c r="D22" s="1400">
        <f>IF(списки!C53=0,0,'Расчет после реализации'!D15/1163*'Экономический расчет'!$D$13)</f>
        <v>718474.15697093296</v>
      </c>
      <c r="E22" s="1405">
        <f>IF(списки!C53=0,0,'Расчет после реализации'!D86/1163)</f>
        <v>0</v>
      </c>
      <c r="F22" s="1703"/>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x14ac:dyDescent="0.3">
      <c r="A23" s="289"/>
      <c r="B23" s="1403" t="s">
        <v>1421</v>
      </c>
      <c r="C23" s="1400">
        <f>'Расчет базового уровня'!D18*'Экономический расчет'!$D$14</f>
        <v>61665.120000000003</v>
      </c>
      <c r="D23" s="1400">
        <f>IF(списки!C53=0,0,'Расчет после реализации'!D18*'Экономический расчет'!$D$14)</f>
        <v>62224.234923610435</v>
      </c>
      <c r="E23" s="1405">
        <f>IF(списки!C53=0,0,'Расчет после реализации'!C100-'Расчет после реализации'!D100)</f>
        <v>-149.49596887979351</v>
      </c>
      <c r="F23" s="1703"/>
      <c r="G23" s="294"/>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ht="28.5" customHeight="1" x14ac:dyDescent="0.3">
      <c r="A24" s="289"/>
      <c r="B24" s="1697" t="s">
        <v>1448</v>
      </c>
      <c r="C24" s="1697"/>
      <c r="D24" s="1697"/>
      <c r="E24" s="1406">
        <f>IF(списки!C53=0,"",IF('Расчет после реализации'!D106&gt;'Расчет после реализации'!C106,'Расчет после реализации'!D106-'Расчет после реализации'!C106,0))</f>
        <v>149.4959688797926</v>
      </c>
      <c r="F24" s="1703"/>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3">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x14ac:dyDescent="0.3">
      <c r="A26" s="289"/>
      <c r="B26" s="289"/>
      <c r="C26" s="289"/>
      <c r="D26" s="294"/>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3">
      <c r="A27" s="289"/>
      <c r="B27" s="1493" t="s">
        <v>1902</v>
      </c>
      <c r="C27" s="1400">
        <f>'Ввод исходных данных'!G44</f>
        <v>7936.2</v>
      </c>
      <c r="D27" s="1689"/>
      <c r="E27" s="1689"/>
      <c r="F27" s="16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3">
      <c r="A28" s="289"/>
      <c r="B28" s="1493" t="s">
        <v>1861</v>
      </c>
      <c r="C28" s="1400">
        <f>'Ввод исходных данных'!G45+'Ввод исходных данных'!D23</f>
        <v>6834.4</v>
      </c>
      <c r="D28" s="1689"/>
      <c r="E28" s="1689"/>
      <c r="F28" s="16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3">
      <c r="A29" s="289"/>
      <c r="B29" s="1493" t="s">
        <v>1406</v>
      </c>
      <c r="C29" s="1400">
        <f>'Список мероприятий'!F86</f>
        <v>15142302.27</v>
      </c>
      <c r="D29" s="1689"/>
      <c r="E29" s="1689"/>
      <c r="F29" s="16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3">
      <c r="A30" s="289"/>
      <c r="B30" s="1493" t="s">
        <v>1903</v>
      </c>
      <c r="C30" s="1400">
        <f>IFERROR(C29/C27,"")</f>
        <v>1908.0041165797234</v>
      </c>
      <c r="D30" s="1689" t="s">
        <v>1595</v>
      </c>
      <c r="E30" s="1689"/>
      <c r="F30" s="16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3">
      <c r="A31" s="289"/>
      <c r="B31" s="1493" t="s">
        <v>1903</v>
      </c>
      <c r="C31" s="1400">
        <f>IFERROR(C29/C28,"")</f>
        <v>2215.6008237738502</v>
      </c>
      <c r="D31" s="1689" t="s">
        <v>1636</v>
      </c>
      <c r="E31" s="1689"/>
      <c r="F31" s="16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15" customHeight="1" x14ac:dyDescent="0.3">
      <c r="A32" s="289"/>
      <c r="B32" s="1493" t="s">
        <v>1408</v>
      </c>
      <c r="C32" s="1400"/>
      <c r="D32" s="1689"/>
      <c r="E32" s="1689"/>
      <c r="F32" s="16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25.5" customHeight="1" x14ac:dyDescent="0.3">
      <c r="A33" s="289"/>
      <c r="B33" s="1494" t="s">
        <v>1416</v>
      </c>
      <c r="C33" s="1400">
        <f>IF(OR(D6=0,списки!C51=1),"",MIN(5000000,D6/2,IF(AND(C36&gt;=0.1,C36&lt;=0.3),(C36*10+1)*C35,IF(C36&gt;0.3,4*C35,0))))</f>
        <v>5000000</v>
      </c>
      <c r="D33" s="1690" t="str">
        <f>E6</f>
        <v/>
      </c>
      <c r="E33" s="1690"/>
      <c r="F33" s="1690"/>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3.5" customHeight="1" x14ac:dyDescent="0.3">
      <c r="A34" s="289"/>
      <c r="B34" s="1494" t="s">
        <v>1417</v>
      </c>
      <c r="C34" s="1400">
        <f>IFERROR(MIN(5*10^6-C33,D6/2-C33,IF(списки!C51=1,0,ABS(D7+PMT(MIN(D9,D10)/12,MIN(D8,60),D7)*MIN(D8,60)))),0)</f>
        <v>0</v>
      </c>
      <c r="D34" s="1691" t="str">
        <f>IF(IFERROR(C34,0)&gt;0,"Внимание: ориентировочная сумма!","")</f>
        <v/>
      </c>
      <c r="E34" s="1691"/>
      <c r="F34" s="1691"/>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3">
      <c r="A35" s="289"/>
      <c r="B35" s="1493" t="s">
        <v>1610</v>
      </c>
      <c r="C35" s="1400">
        <f>IF(списки!C49=1,0,C36*(C19))</f>
        <v>1348295.7808802244</v>
      </c>
      <c r="D35" s="1689"/>
      <c r="E35" s="1689"/>
      <c r="F35" s="16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3">
      <c r="A36" s="289"/>
      <c r="B36" s="1493" t="s">
        <v>1409</v>
      </c>
      <c r="C36" s="296">
        <f>IF(списки!C53=0,"",1-D19/C19)</f>
        <v>0.43987975726253259</v>
      </c>
      <c r="D36" s="1692"/>
      <c r="E36" s="1692"/>
      <c r="F36" s="1692"/>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ht="15" customHeight="1" x14ac:dyDescent="0.3">
      <c r="A37" s="289"/>
      <c r="B37" s="1493" t="s">
        <v>1407</v>
      </c>
      <c r="C37" s="295">
        <f>IF(списки!C51=1,"",D5/C35)</f>
        <v>11.230697659021423</v>
      </c>
      <c r="D37" s="1689"/>
      <c r="E37" s="1689"/>
      <c r="F37" s="16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3">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3">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3">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3">
      <c r="A41" s="289"/>
      <c r="B41" s="1270"/>
      <c r="C41" s="1270"/>
      <c r="D41" s="1270"/>
      <c r="E41" s="1270" t="s">
        <v>1752</v>
      </c>
      <c r="F41" s="1270"/>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3">
      <c r="A42" s="289"/>
      <c r="B42" s="1270">
        <v>1</v>
      </c>
      <c r="C42" s="1271">
        <f>'Список мероприятий'!W9</f>
        <v>0.20476738301249497</v>
      </c>
      <c r="D42" s="1270" t="str">
        <f>IF(E42=0,"","Повыш-е теплозащ. наружных стен")</f>
        <v>Повыш-е теплозащ. наружных стен</v>
      </c>
      <c r="E42" s="1272">
        <f t="shared" ref="E42:E64" si="0">F42/SUM($F$42:$F$64)</f>
        <v>0.47773422608973676</v>
      </c>
      <c r="F42" s="1270">
        <f t="shared" ref="F42:F53" si="1">$C42*$C$20</f>
        <v>615014.96740575077</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3">
      <c r="A43" s="289"/>
      <c r="B43" s="1270">
        <v>2</v>
      </c>
      <c r="C43" s="1271">
        <f>'Список мероприятий'!W12</f>
        <v>0</v>
      </c>
      <c r="D43" s="1270" t="str">
        <f>IF(E43=0,"","Заделка и герметизация межпанельных соединений")</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3">
      <c r="A44" s="289"/>
      <c r="B44" s="1270">
        <v>3</v>
      </c>
      <c r="C44" s="1271">
        <f>'Список мероприятий'!W14</f>
        <v>0</v>
      </c>
      <c r="D44" s="1270" t="str">
        <f>IF(E44=0,"","Замена окон МОП")</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3">
      <c r="A45" s="289"/>
      <c r="B45" s="1270">
        <v>4</v>
      </c>
      <c r="C45" s="1271">
        <f>'Список мероприятий'!W20</f>
        <v>0</v>
      </c>
      <c r="D45" s="1270" t="str">
        <f>IF(E45=0,"","Повыш-е теплозащ. совмещенной кровли")</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3">
      <c r="A46" s="289"/>
      <c r="B46" s="1270">
        <v>5</v>
      </c>
      <c r="C46" s="1271">
        <f>'Список мероприятий'!W24</f>
        <v>0</v>
      </c>
      <c r="D46" s="1270" t="str">
        <f>IF(E46=0,"","Устройство теплого чердака")</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3">
      <c r="A47" s="289"/>
      <c r="B47" s="1270">
        <v>6</v>
      </c>
      <c r="C47" s="1271">
        <f>'Список мероприятий'!W27</f>
        <v>0</v>
      </c>
      <c r="D47" s="1270" t="str">
        <f>IF(E47=0,"","Повыш-е теплозащ. чердачных перекрытий")</f>
        <v/>
      </c>
      <c r="E47" s="1272">
        <f t="shared" si="0"/>
        <v>0</v>
      </c>
      <c r="F47" s="1270">
        <f t="shared" si="1"/>
        <v>0</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3">
      <c r="A48" s="289"/>
      <c r="B48" s="1270">
        <v>7</v>
      </c>
      <c r="C48" s="1271">
        <f>'Список мероприятий'!W32</f>
        <v>0.22385458256974874</v>
      </c>
      <c r="D48" s="1270" t="str">
        <f>IF(E48=0,"","Установка узлов управления")</f>
        <v>Установка узлов управления</v>
      </c>
      <c r="E48" s="1272">
        <f t="shared" si="0"/>
        <v>0.5222657739102633</v>
      </c>
      <c r="F48" s="1517">
        <f t="shared" si="1"/>
        <v>672343.01077316131</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3">
      <c r="A49" s="289"/>
      <c r="B49" s="1270">
        <v>8</v>
      </c>
      <c r="C49" s="1271">
        <f>'Список мероприятий'!W34</f>
        <v>0</v>
      </c>
      <c r="D49" s="1270" t="str">
        <f>IF(E49=0,"","Модернизация ИТП")</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3">
      <c r="A50" s="289"/>
      <c r="B50" s="1270">
        <v>9</v>
      </c>
      <c r="C50" s="1271">
        <f>'Список мероприятий'!W35</f>
        <v>0</v>
      </c>
      <c r="D50" s="1270" t="str">
        <f>IF(E50=0,"","Установка регуляторов температуры ГВС")</f>
        <v/>
      </c>
      <c r="E50" s="1272">
        <f t="shared" si="0"/>
        <v>0</v>
      </c>
      <c r="F50" s="1517">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3">
      <c r="A51" s="289"/>
      <c r="B51" s="1270">
        <v>10</v>
      </c>
      <c r="C51" s="1271">
        <f>'Список мероприятий'!W37</f>
        <v>0</v>
      </c>
      <c r="D51" s="1270" t="str">
        <f>IF(E51=0,"","Ремонт трубопровода СО")</f>
        <v/>
      </c>
      <c r="E51" s="1272">
        <f t="shared" si="0"/>
        <v>0</v>
      </c>
      <c r="F51" s="1517">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3">
      <c r="A52" s="289"/>
      <c r="B52" s="1270">
        <v>11</v>
      </c>
      <c r="C52" s="1271">
        <f>'Список мероприятий'!W38</f>
        <v>0</v>
      </c>
      <c r="D52" s="1270" t="str">
        <f>IF(E52=0,"","Ремонт трубопровода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3">
      <c r="A53" s="289"/>
      <c r="B53" s="1270">
        <v>12</v>
      </c>
      <c r="C53" s="1271">
        <f>'Список мероприятий'!W39</f>
        <v>0</v>
      </c>
      <c r="D53" s="1270" t="str">
        <f>IF(E53=0,"","Устройство циркуляции ГВС")</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3">
      <c r="A54" s="289"/>
      <c r="B54" s="1270">
        <v>13</v>
      </c>
      <c r="C54" s="1271">
        <f>'Список мероприятий'!Y42</f>
        <v>0</v>
      </c>
      <c r="D54" s="1270" t="str">
        <f>IF(E54=0,"","Установка ЧРП на насосное оборудование")</f>
        <v/>
      </c>
      <c r="E54" s="1272">
        <f t="shared" si="0"/>
        <v>0</v>
      </c>
      <c r="F54" s="1270">
        <f t="shared" ref="F54:F59" si="2">$C54*$C$23</f>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3">
      <c r="A55" s="289"/>
      <c r="B55" s="1270">
        <v>14</v>
      </c>
      <c r="C55" s="1271">
        <f>'Список мероприятий'!Y47</f>
        <v>0</v>
      </c>
      <c r="D55" s="1270" t="str">
        <f>IF(E55=0,"","Замена насосного оборудования")</f>
        <v/>
      </c>
      <c r="E55" s="1272">
        <f t="shared" si="0"/>
        <v>0</v>
      </c>
      <c r="F55" s="1270">
        <f t="shared" si="2"/>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3">
      <c r="A56" s="289"/>
      <c r="B56" s="1270">
        <v>15</v>
      </c>
      <c r="C56" s="1271">
        <f>'Список мероприятий'!Y52</f>
        <v>0</v>
      </c>
      <c r="D56" s="1270" t="str">
        <f>IF(E56=0,"","Установка УКРМ на насосное оборудование")</f>
        <v/>
      </c>
      <c r="E56" s="1272">
        <f t="shared" si="0"/>
        <v>0</v>
      </c>
      <c r="F56" s="1270">
        <f t="shared" si="2"/>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3">
      <c r="A57" s="289"/>
      <c r="B57" s="1270">
        <v>16</v>
      </c>
      <c r="C57" s="1271">
        <f>'Список мероприятий'!Y55</f>
        <v>0</v>
      </c>
      <c r="D57" s="1270" t="str">
        <f>IF(E57=0,"","Ремонт лифта")</f>
        <v/>
      </c>
      <c r="E57" s="1272">
        <f t="shared" si="0"/>
        <v>0</v>
      </c>
      <c r="F57" s="1270">
        <f t="shared" si="2"/>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3">
      <c r="A58" s="289"/>
      <c r="B58" s="1270">
        <v>17</v>
      </c>
      <c r="C58" s="1271">
        <f>'Список мероприятий'!Y56</f>
        <v>0</v>
      </c>
      <c r="D58" s="1270" t="str">
        <f>IF(E58=0,"","Замена лифта")</f>
        <v/>
      </c>
      <c r="E58" s="1272">
        <f t="shared" si="0"/>
        <v>0</v>
      </c>
      <c r="F58" s="1270">
        <f t="shared" si="2"/>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3">
      <c r="A59" s="289"/>
      <c r="B59" s="1270">
        <v>18</v>
      </c>
      <c r="C59" s="1271">
        <f>'Список мероприятий'!Y58</f>
        <v>0</v>
      </c>
      <c r="D59" s="1270" t="str">
        <f>IF(E59=0,"","Установка УКРМ на лифт")</f>
        <v/>
      </c>
      <c r="E59" s="1272">
        <f t="shared" si="0"/>
        <v>0</v>
      </c>
      <c r="F59" s="1270">
        <f t="shared" si="2"/>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3">
      <c r="A60" s="289"/>
      <c r="B60" s="1270">
        <v>19</v>
      </c>
      <c r="C60" s="1271">
        <f>'Список мероприятий'!W62</f>
        <v>0</v>
      </c>
      <c r="D60" s="1270" t="str">
        <f>IF(E60=0,"","Повыш-е теплозащ. пола по грунту")</f>
        <v/>
      </c>
      <c r="E60" s="1272">
        <f t="shared" si="0"/>
        <v>0</v>
      </c>
      <c r="F60" s="1270">
        <f t="shared" ref="F60:F62" si="3">$C60*$C$20</f>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3">
      <c r="A61" s="289"/>
      <c r="B61" s="1270">
        <v>20</v>
      </c>
      <c r="C61" s="1271">
        <f>'Список мероприятий'!W67</f>
        <v>0</v>
      </c>
      <c r="D61" s="1270" t="str">
        <f>IF(E61=0,"","Повыш-е теплозащ. перекрытий над подвалом")</f>
        <v/>
      </c>
      <c r="E61" s="1272">
        <f t="shared" si="0"/>
        <v>0</v>
      </c>
      <c r="F61" s="1270">
        <f t="shared" si="3"/>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3">
      <c r="A62" s="289"/>
      <c r="B62" s="1270">
        <v>21</v>
      </c>
      <c r="C62" s="1271">
        <f>'Список мероприятий'!W73</f>
        <v>0</v>
      </c>
      <c r="D62" s="1270" t="str">
        <f>IF(E62=0,"","Утепление наружных дверей")</f>
        <v/>
      </c>
      <c r="E62" s="1272">
        <f t="shared" si="0"/>
        <v>0</v>
      </c>
      <c r="F62" s="1270">
        <f t="shared" si="3"/>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3">
      <c r="A63" s="289"/>
      <c r="B63" s="1270">
        <v>22</v>
      </c>
      <c r="C63" s="1271">
        <f>'Список мероприятий'!Y74</f>
        <v>0</v>
      </c>
      <c r="D63" s="1270" t="str">
        <f>IF(E63=0,"","Замена осветительных приборов")</f>
        <v/>
      </c>
      <c r="E63" s="1272">
        <f t="shared" si="0"/>
        <v>0</v>
      </c>
      <c r="F63" s="1270">
        <f>$C63*$C$23</f>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3">
      <c r="A64" s="289"/>
      <c r="B64" s="1270">
        <v>23</v>
      </c>
      <c r="C64" s="1271">
        <f>'Список мероприятий'!Y76</f>
        <v>0</v>
      </c>
      <c r="D64" s="1270" t="str">
        <f>IF(E64=0,"","Установка датчиков движения")</f>
        <v/>
      </c>
      <c r="E64" s="1272">
        <f t="shared" si="0"/>
        <v>0</v>
      </c>
      <c r="F64" s="1270">
        <f>$C64*$C$23</f>
        <v>0</v>
      </c>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3">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3">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3">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3">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3">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3">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3">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3">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3">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3">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3">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3">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3">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3">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3">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3">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3">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3">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3">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3">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3">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3">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3">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3">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3">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3">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3">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3">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3">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3">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3">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3">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3">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3">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3">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3">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3">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3">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3">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3">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3">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3">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3">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3">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3">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3">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3">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3">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3">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3">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3">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3">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3">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3">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3">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3">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3">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3">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3">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3">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3">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3">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3">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3">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3">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3">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3">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3">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3">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3">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3">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3">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3">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3">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3">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3">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3">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3">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3">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3">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3">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3">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3">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3">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3">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3">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3">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3">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3">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3">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3">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3">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3">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3">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3">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3">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3">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3">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3">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3">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3">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3">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3">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3">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3">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3">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3">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3">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3">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3">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3">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3">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3">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3">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3">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3">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3">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3">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3">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3">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3">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3">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3">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3">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3">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3">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3">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row r="192" spans="1:44" x14ac:dyDescent="0.3">
      <c r="A192" s="289"/>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row>
  </sheetData>
  <sheetProtection password="ECB1" sheet="1" objects="1" scenarios="1"/>
  <mergeCells count="20">
    <mergeCell ref="E17:F17"/>
    <mergeCell ref="C2:E2"/>
    <mergeCell ref="C17:D17"/>
    <mergeCell ref="B24:D24"/>
    <mergeCell ref="B1:D1"/>
    <mergeCell ref="E1:G1"/>
    <mergeCell ref="B12:D12"/>
    <mergeCell ref="F18:F24"/>
    <mergeCell ref="B16:F16"/>
    <mergeCell ref="D37:F37"/>
    <mergeCell ref="D32:F32"/>
    <mergeCell ref="D33:F33"/>
    <mergeCell ref="D34:F34"/>
    <mergeCell ref="D35:F35"/>
    <mergeCell ref="D36:F36"/>
    <mergeCell ref="D27:F27"/>
    <mergeCell ref="D28:F28"/>
    <mergeCell ref="D29:F29"/>
    <mergeCell ref="D30:F30"/>
    <mergeCell ref="D31:F31"/>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8"/>
  <sheetViews>
    <sheetView zoomScaleNormal="100" zoomScaleSheetLayoutView="90" workbookViewId="0">
      <pane ySplit="1" topLeftCell="A50" activePane="bottomLeft" state="frozen"/>
      <selection pane="bottomLeft" activeCell="B76" sqref="B76:E76"/>
    </sheetView>
  </sheetViews>
  <sheetFormatPr defaultRowHeight="13.8" x14ac:dyDescent="0.3"/>
  <cols>
    <col min="1" max="1" width="2.5546875" style="62" customWidth="1"/>
    <col min="2" max="3" width="4.33203125" style="63" customWidth="1"/>
    <col min="4" max="4" width="39" style="64" customWidth="1"/>
    <col min="5" max="5" width="65" style="65" customWidth="1"/>
    <col min="6" max="6" width="9.109375" style="64"/>
    <col min="7" max="7" width="32.88671875" style="66" hidden="1" customWidth="1"/>
    <col min="8" max="8" width="33.5546875" style="66" hidden="1" customWidth="1"/>
    <col min="9" max="9" width="28.109375" style="66" hidden="1" customWidth="1"/>
    <col min="10" max="256" width="9.109375" style="45"/>
    <col min="257" max="257" width="2.5546875" style="45" customWidth="1"/>
    <col min="258" max="259" width="4.33203125" style="45" customWidth="1"/>
    <col min="260" max="260" width="39" style="45" customWidth="1"/>
    <col min="261" max="261" width="55.6640625" style="45" customWidth="1"/>
    <col min="262" max="262" width="9.109375" style="45"/>
    <col min="263" max="263" width="9.109375" style="45" customWidth="1"/>
    <col min="264" max="512" width="9.109375" style="45"/>
    <col min="513" max="513" width="2.5546875" style="45" customWidth="1"/>
    <col min="514" max="515" width="4.33203125" style="45" customWidth="1"/>
    <col min="516" max="516" width="39" style="45" customWidth="1"/>
    <col min="517" max="517" width="55.6640625" style="45" customWidth="1"/>
    <col min="518" max="518" width="9.109375" style="45"/>
    <col min="519" max="519" width="9.109375" style="45" customWidth="1"/>
    <col min="520" max="768" width="9.109375" style="45"/>
    <col min="769" max="769" width="2.5546875" style="45" customWidth="1"/>
    <col min="770" max="771" width="4.33203125" style="45" customWidth="1"/>
    <col min="772" max="772" width="39" style="45" customWidth="1"/>
    <col min="773" max="773" width="55.6640625" style="45" customWidth="1"/>
    <col min="774" max="774" width="9.109375" style="45"/>
    <col min="775" max="775" width="9.109375" style="45" customWidth="1"/>
    <col min="776" max="1024" width="9.109375" style="45"/>
    <col min="1025" max="1025" width="2.5546875" style="45" customWidth="1"/>
    <col min="1026" max="1027" width="4.33203125" style="45" customWidth="1"/>
    <col min="1028" max="1028" width="39" style="45" customWidth="1"/>
    <col min="1029" max="1029" width="55.6640625" style="45" customWidth="1"/>
    <col min="1030" max="1030" width="9.109375" style="45"/>
    <col min="1031" max="1031" width="9.109375" style="45" customWidth="1"/>
    <col min="1032" max="1280" width="9.109375" style="45"/>
    <col min="1281" max="1281" width="2.5546875" style="45" customWidth="1"/>
    <col min="1282" max="1283" width="4.33203125" style="45" customWidth="1"/>
    <col min="1284" max="1284" width="39" style="45" customWidth="1"/>
    <col min="1285" max="1285" width="55.6640625" style="45" customWidth="1"/>
    <col min="1286" max="1286" width="9.109375" style="45"/>
    <col min="1287" max="1287" width="9.109375" style="45" customWidth="1"/>
    <col min="1288" max="1536" width="9.109375" style="45"/>
    <col min="1537" max="1537" width="2.5546875" style="45" customWidth="1"/>
    <col min="1538" max="1539" width="4.33203125" style="45" customWidth="1"/>
    <col min="1540" max="1540" width="39" style="45" customWidth="1"/>
    <col min="1541" max="1541" width="55.6640625" style="45" customWidth="1"/>
    <col min="1542" max="1542" width="9.109375" style="45"/>
    <col min="1543" max="1543" width="9.109375" style="45" customWidth="1"/>
    <col min="1544" max="1792" width="9.109375" style="45"/>
    <col min="1793" max="1793" width="2.5546875" style="45" customWidth="1"/>
    <col min="1794" max="1795" width="4.33203125" style="45" customWidth="1"/>
    <col min="1796" max="1796" width="39" style="45" customWidth="1"/>
    <col min="1797" max="1797" width="55.6640625" style="45" customWidth="1"/>
    <col min="1798" max="1798" width="9.109375" style="45"/>
    <col min="1799" max="1799" width="9.109375" style="45" customWidth="1"/>
    <col min="1800" max="2048" width="9.109375" style="45"/>
    <col min="2049" max="2049" width="2.5546875" style="45" customWidth="1"/>
    <col min="2050" max="2051" width="4.33203125" style="45" customWidth="1"/>
    <col min="2052" max="2052" width="39" style="45" customWidth="1"/>
    <col min="2053" max="2053" width="55.6640625" style="45" customWidth="1"/>
    <col min="2054" max="2054" width="9.109375" style="45"/>
    <col min="2055" max="2055" width="9.109375" style="45" customWidth="1"/>
    <col min="2056" max="2304" width="9.109375" style="45"/>
    <col min="2305" max="2305" width="2.5546875" style="45" customWidth="1"/>
    <col min="2306" max="2307" width="4.33203125" style="45" customWidth="1"/>
    <col min="2308" max="2308" width="39" style="45" customWidth="1"/>
    <col min="2309" max="2309" width="55.6640625" style="45" customWidth="1"/>
    <col min="2310" max="2310" width="9.109375" style="45"/>
    <col min="2311" max="2311" width="9.109375" style="45" customWidth="1"/>
    <col min="2312" max="2560" width="9.109375" style="45"/>
    <col min="2561" max="2561" width="2.5546875" style="45" customWidth="1"/>
    <col min="2562" max="2563" width="4.33203125" style="45" customWidth="1"/>
    <col min="2564" max="2564" width="39" style="45" customWidth="1"/>
    <col min="2565" max="2565" width="55.6640625" style="45" customWidth="1"/>
    <col min="2566" max="2566" width="9.109375" style="45"/>
    <col min="2567" max="2567" width="9.109375" style="45" customWidth="1"/>
    <col min="2568" max="2816" width="9.109375" style="45"/>
    <col min="2817" max="2817" width="2.5546875" style="45" customWidth="1"/>
    <col min="2818" max="2819" width="4.33203125" style="45" customWidth="1"/>
    <col min="2820" max="2820" width="39" style="45" customWidth="1"/>
    <col min="2821" max="2821" width="55.6640625" style="45" customWidth="1"/>
    <col min="2822" max="2822" width="9.109375" style="45"/>
    <col min="2823" max="2823" width="9.109375" style="45" customWidth="1"/>
    <col min="2824" max="3072" width="9.109375" style="45"/>
    <col min="3073" max="3073" width="2.5546875" style="45" customWidth="1"/>
    <col min="3074" max="3075" width="4.33203125" style="45" customWidth="1"/>
    <col min="3076" max="3076" width="39" style="45" customWidth="1"/>
    <col min="3077" max="3077" width="55.6640625" style="45" customWidth="1"/>
    <col min="3078" max="3078" width="9.109375" style="45"/>
    <col min="3079" max="3079" width="9.109375" style="45" customWidth="1"/>
    <col min="3080" max="3328" width="9.109375" style="45"/>
    <col min="3329" max="3329" width="2.5546875" style="45" customWidth="1"/>
    <col min="3330" max="3331" width="4.33203125" style="45" customWidth="1"/>
    <col min="3332" max="3332" width="39" style="45" customWidth="1"/>
    <col min="3333" max="3333" width="55.6640625" style="45" customWidth="1"/>
    <col min="3334" max="3334" width="9.109375" style="45"/>
    <col min="3335" max="3335" width="9.109375" style="45" customWidth="1"/>
    <col min="3336" max="3584" width="9.109375" style="45"/>
    <col min="3585" max="3585" width="2.5546875" style="45" customWidth="1"/>
    <col min="3586" max="3587" width="4.33203125" style="45" customWidth="1"/>
    <col min="3588" max="3588" width="39" style="45" customWidth="1"/>
    <col min="3589" max="3589" width="55.6640625" style="45" customWidth="1"/>
    <col min="3590" max="3590" width="9.109375" style="45"/>
    <col min="3591" max="3591" width="9.109375" style="45" customWidth="1"/>
    <col min="3592" max="3840" width="9.109375" style="45"/>
    <col min="3841" max="3841" width="2.5546875" style="45" customWidth="1"/>
    <col min="3842" max="3843" width="4.33203125" style="45" customWidth="1"/>
    <col min="3844" max="3844" width="39" style="45" customWidth="1"/>
    <col min="3845" max="3845" width="55.6640625" style="45" customWidth="1"/>
    <col min="3846" max="3846" width="9.109375" style="45"/>
    <col min="3847" max="3847" width="9.109375" style="45" customWidth="1"/>
    <col min="3848" max="4096" width="9.109375" style="45"/>
    <col min="4097" max="4097" width="2.5546875" style="45" customWidth="1"/>
    <col min="4098" max="4099" width="4.33203125" style="45" customWidth="1"/>
    <col min="4100" max="4100" width="39" style="45" customWidth="1"/>
    <col min="4101" max="4101" width="55.6640625" style="45" customWidth="1"/>
    <col min="4102" max="4102" width="9.109375" style="45"/>
    <col min="4103" max="4103" width="9.109375" style="45" customWidth="1"/>
    <col min="4104" max="4352" width="9.109375" style="45"/>
    <col min="4353" max="4353" width="2.5546875" style="45" customWidth="1"/>
    <col min="4354" max="4355" width="4.33203125" style="45" customWidth="1"/>
    <col min="4356" max="4356" width="39" style="45" customWidth="1"/>
    <col min="4357" max="4357" width="55.6640625" style="45" customWidth="1"/>
    <col min="4358" max="4358" width="9.109375" style="45"/>
    <col min="4359" max="4359" width="9.109375" style="45" customWidth="1"/>
    <col min="4360" max="4608" width="9.109375" style="45"/>
    <col min="4609" max="4609" width="2.5546875" style="45" customWidth="1"/>
    <col min="4610" max="4611" width="4.33203125" style="45" customWidth="1"/>
    <col min="4612" max="4612" width="39" style="45" customWidth="1"/>
    <col min="4613" max="4613" width="55.6640625" style="45" customWidth="1"/>
    <col min="4614" max="4614" width="9.109375" style="45"/>
    <col min="4615" max="4615" width="9.109375" style="45" customWidth="1"/>
    <col min="4616" max="4864" width="9.109375" style="45"/>
    <col min="4865" max="4865" width="2.5546875" style="45" customWidth="1"/>
    <col min="4866" max="4867" width="4.33203125" style="45" customWidth="1"/>
    <col min="4868" max="4868" width="39" style="45" customWidth="1"/>
    <col min="4869" max="4869" width="55.6640625" style="45" customWidth="1"/>
    <col min="4870" max="4870" width="9.109375" style="45"/>
    <col min="4871" max="4871" width="9.109375" style="45" customWidth="1"/>
    <col min="4872" max="5120" width="9.109375" style="45"/>
    <col min="5121" max="5121" width="2.5546875" style="45" customWidth="1"/>
    <col min="5122" max="5123" width="4.33203125" style="45" customWidth="1"/>
    <col min="5124" max="5124" width="39" style="45" customWidth="1"/>
    <col min="5125" max="5125" width="55.6640625" style="45" customWidth="1"/>
    <col min="5126" max="5126" width="9.109375" style="45"/>
    <col min="5127" max="5127" width="9.109375" style="45" customWidth="1"/>
    <col min="5128" max="5376" width="9.109375" style="45"/>
    <col min="5377" max="5377" width="2.5546875" style="45" customWidth="1"/>
    <col min="5378" max="5379" width="4.33203125" style="45" customWidth="1"/>
    <col min="5380" max="5380" width="39" style="45" customWidth="1"/>
    <col min="5381" max="5381" width="55.6640625" style="45" customWidth="1"/>
    <col min="5382" max="5382" width="9.109375" style="45"/>
    <col min="5383" max="5383" width="9.109375" style="45" customWidth="1"/>
    <col min="5384" max="5632" width="9.109375" style="45"/>
    <col min="5633" max="5633" width="2.5546875" style="45" customWidth="1"/>
    <col min="5634" max="5635" width="4.33203125" style="45" customWidth="1"/>
    <col min="5636" max="5636" width="39" style="45" customWidth="1"/>
    <col min="5637" max="5637" width="55.6640625" style="45" customWidth="1"/>
    <col min="5638" max="5638" width="9.109375" style="45"/>
    <col min="5639" max="5639" width="9.109375" style="45" customWidth="1"/>
    <col min="5640" max="5888" width="9.109375" style="45"/>
    <col min="5889" max="5889" width="2.5546875" style="45" customWidth="1"/>
    <col min="5890" max="5891" width="4.33203125" style="45" customWidth="1"/>
    <col min="5892" max="5892" width="39" style="45" customWidth="1"/>
    <col min="5893" max="5893" width="55.6640625" style="45" customWidth="1"/>
    <col min="5894" max="5894" width="9.109375" style="45"/>
    <col min="5895" max="5895" width="9.109375" style="45" customWidth="1"/>
    <col min="5896" max="6144" width="9.109375" style="45"/>
    <col min="6145" max="6145" width="2.5546875" style="45" customWidth="1"/>
    <col min="6146" max="6147" width="4.33203125" style="45" customWidth="1"/>
    <col min="6148" max="6148" width="39" style="45" customWidth="1"/>
    <col min="6149" max="6149" width="55.6640625" style="45" customWidth="1"/>
    <col min="6150" max="6150" width="9.109375" style="45"/>
    <col min="6151" max="6151" width="9.109375" style="45" customWidth="1"/>
    <col min="6152" max="6400" width="9.109375" style="45"/>
    <col min="6401" max="6401" width="2.5546875" style="45" customWidth="1"/>
    <col min="6402" max="6403" width="4.33203125" style="45" customWidth="1"/>
    <col min="6404" max="6404" width="39" style="45" customWidth="1"/>
    <col min="6405" max="6405" width="55.6640625" style="45" customWidth="1"/>
    <col min="6406" max="6406" width="9.109375" style="45"/>
    <col min="6407" max="6407" width="9.109375" style="45" customWidth="1"/>
    <col min="6408" max="6656" width="9.109375" style="45"/>
    <col min="6657" max="6657" width="2.5546875" style="45" customWidth="1"/>
    <col min="6658" max="6659" width="4.33203125" style="45" customWidth="1"/>
    <col min="6660" max="6660" width="39" style="45" customWidth="1"/>
    <col min="6661" max="6661" width="55.6640625" style="45" customWidth="1"/>
    <col min="6662" max="6662" width="9.109375" style="45"/>
    <col min="6663" max="6663" width="9.109375" style="45" customWidth="1"/>
    <col min="6664" max="6912" width="9.109375" style="45"/>
    <col min="6913" max="6913" width="2.5546875" style="45" customWidth="1"/>
    <col min="6914" max="6915" width="4.33203125" style="45" customWidth="1"/>
    <col min="6916" max="6916" width="39" style="45" customWidth="1"/>
    <col min="6917" max="6917" width="55.6640625" style="45" customWidth="1"/>
    <col min="6918" max="6918" width="9.109375" style="45"/>
    <col min="6919" max="6919" width="9.109375" style="45" customWidth="1"/>
    <col min="6920" max="7168" width="9.109375" style="45"/>
    <col min="7169" max="7169" width="2.5546875" style="45" customWidth="1"/>
    <col min="7170" max="7171" width="4.33203125" style="45" customWidth="1"/>
    <col min="7172" max="7172" width="39" style="45" customWidth="1"/>
    <col min="7173" max="7173" width="55.6640625" style="45" customWidth="1"/>
    <col min="7174" max="7174" width="9.109375" style="45"/>
    <col min="7175" max="7175" width="9.109375" style="45" customWidth="1"/>
    <col min="7176" max="7424" width="9.109375" style="45"/>
    <col min="7425" max="7425" width="2.5546875" style="45" customWidth="1"/>
    <col min="7426" max="7427" width="4.33203125" style="45" customWidth="1"/>
    <col min="7428" max="7428" width="39" style="45" customWidth="1"/>
    <col min="7429" max="7429" width="55.6640625" style="45" customWidth="1"/>
    <col min="7430" max="7430" width="9.109375" style="45"/>
    <col min="7431" max="7431" width="9.109375" style="45" customWidth="1"/>
    <col min="7432" max="7680" width="9.109375" style="45"/>
    <col min="7681" max="7681" width="2.5546875" style="45" customWidth="1"/>
    <col min="7682" max="7683" width="4.33203125" style="45" customWidth="1"/>
    <col min="7684" max="7684" width="39" style="45" customWidth="1"/>
    <col min="7685" max="7685" width="55.6640625" style="45" customWidth="1"/>
    <col min="7686" max="7686" width="9.109375" style="45"/>
    <col min="7687" max="7687" width="9.109375" style="45" customWidth="1"/>
    <col min="7688" max="7936" width="9.109375" style="45"/>
    <col min="7937" max="7937" width="2.5546875" style="45" customWidth="1"/>
    <col min="7938" max="7939" width="4.33203125" style="45" customWidth="1"/>
    <col min="7940" max="7940" width="39" style="45" customWidth="1"/>
    <col min="7941" max="7941" width="55.6640625" style="45" customWidth="1"/>
    <col min="7942" max="7942" width="9.109375" style="45"/>
    <col min="7943" max="7943" width="9.109375" style="45" customWidth="1"/>
    <col min="7944" max="8192" width="9.109375" style="45"/>
    <col min="8193" max="8193" width="2.5546875" style="45" customWidth="1"/>
    <col min="8194" max="8195" width="4.33203125" style="45" customWidth="1"/>
    <col min="8196" max="8196" width="39" style="45" customWidth="1"/>
    <col min="8197" max="8197" width="55.6640625" style="45" customWidth="1"/>
    <col min="8198" max="8198" width="9.109375" style="45"/>
    <col min="8199" max="8199" width="9.109375" style="45" customWidth="1"/>
    <col min="8200" max="8448" width="9.109375" style="45"/>
    <col min="8449" max="8449" width="2.5546875" style="45" customWidth="1"/>
    <col min="8450" max="8451" width="4.33203125" style="45" customWidth="1"/>
    <col min="8452" max="8452" width="39" style="45" customWidth="1"/>
    <col min="8453" max="8453" width="55.6640625" style="45" customWidth="1"/>
    <col min="8454" max="8454" width="9.109375" style="45"/>
    <col min="8455" max="8455" width="9.109375" style="45" customWidth="1"/>
    <col min="8456" max="8704" width="9.109375" style="45"/>
    <col min="8705" max="8705" width="2.5546875" style="45" customWidth="1"/>
    <col min="8706" max="8707" width="4.33203125" style="45" customWidth="1"/>
    <col min="8708" max="8708" width="39" style="45" customWidth="1"/>
    <col min="8709" max="8709" width="55.6640625" style="45" customWidth="1"/>
    <col min="8710" max="8710" width="9.109375" style="45"/>
    <col min="8711" max="8711" width="9.109375" style="45" customWidth="1"/>
    <col min="8712" max="8960" width="9.109375" style="45"/>
    <col min="8961" max="8961" width="2.5546875" style="45" customWidth="1"/>
    <col min="8962" max="8963" width="4.33203125" style="45" customWidth="1"/>
    <col min="8964" max="8964" width="39" style="45" customWidth="1"/>
    <col min="8965" max="8965" width="55.6640625" style="45" customWidth="1"/>
    <col min="8966" max="8966" width="9.109375" style="45"/>
    <col min="8967" max="8967" width="9.109375" style="45" customWidth="1"/>
    <col min="8968" max="9216" width="9.109375" style="45"/>
    <col min="9217" max="9217" width="2.5546875" style="45" customWidth="1"/>
    <col min="9218" max="9219" width="4.33203125" style="45" customWidth="1"/>
    <col min="9220" max="9220" width="39" style="45" customWidth="1"/>
    <col min="9221" max="9221" width="55.6640625" style="45" customWidth="1"/>
    <col min="9222" max="9222" width="9.109375" style="45"/>
    <col min="9223" max="9223" width="9.109375" style="45" customWidth="1"/>
    <col min="9224" max="9472" width="9.109375" style="45"/>
    <col min="9473" max="9473" width="2.5546875" style="45" customWidth="1"/>
    <col min="9474" max="9475" width="4.33203125" style="45" customWidth="1"/>
    <col min="9476" max="9476" width="39" style="45" customWidth="1"/>
    <col min="9477" max="9477" width="55.6640625" style="45" customWidth="1"/>
    <col min="9478" max="9478" width="9.109375" style="45"/>
    <col min="9479" max="9479" width="9.109375" style="45" customWidth="1"/>
    <col min="9480" max="9728" width="9.109375" style="45"/>
    <col min="9729" max="9729" width="2.5546875" style="45" customWidth="1"/>
    <col min="9730" max="9731" width="4.33203125" style="45" customWidth="1"/>
    <col min="9732" max="9732" width="39" style="45" customWidth="1"/>
    <col min="9733" max="9733" width="55.6640625" style="45" customWidth="1"/>
    <col min="9734" max="9734" width="9.109375" style="45"/>
    <col min="9735" max="9735" width="9.109375" style="45" customWidth="1"/>
    <col min="9736" max="9984" width="9.109375" style="45"/>
    <col min="9985" max="9985" width="2.5546875" style="45" customWidth="1"/>
    <col min="9986" max="9987" width="4.33203125" style="45" customWidth="1"/>
    <col min="9988" max="9988" width="39" style="45" customWidth="1"/>
    <col min="9989" max="9989" width="55.6640625" style="45" customWidth="1"/>
    <col min="9990" max="9990" width="9.109375" style="45"/>
    <col min="9991" max="9991" width="9.109375" style="45" customWidth="1"/>
    <col min="9992" max="10240" width="9.109375" style="45"/>
    <col min="10241" max="10241" width="2.5546875" style="45" customWidth="1"/>
    <col min="10242" max="10243" width="4.33203125" style="45" customWidth="1"/>
    <col min="10244" max="10244" width="39" style="45" customWidth="1"/>
    <col min="10245" max="10245" width="55.6640625" style="45" customWidth="1"/>
    <col min="10246" max="10246" width="9.109375" style="45"/>
    <col min="10247" max="10247" width="9.109375" style="45" customWidth="1"/>
    <col min="10248" max="10496" width="9.109375" style="45"/>
    <col min="10497" max="10497" width="2.5546875" style="45" customWidth="1"/>
    <col min="10498" max="10499" width="4.33203125" style="45" customWidth="1"/>
    <col min="10500" max="10500" width="39" style="45" customWidth="1"/>
    <col min="10501" max="10501" width="55.6640625" style="45" customWidth="1"/>
    <col min="10502" max="10502" width="9.109375" style="45"/>
    <col min="10503" max="10503" width="9.109375" style="45" customWidth="1"/>
    <col min="10504" max="10752" width="9.109375" style="45"/>
    <col min="10753" max="10753" width="2.5546875" style="45" customWidth="1"/>
    <col min="10754" max="10755" width="4.33203125" style="45" customWidth="1"/>
    <col min="10756" max="10756" width="39" style="45" customWidth="1"/>
    <col min="10757" max="10757" width="55.6640625" style="45" customWidth="1"/>
    <col min="10758" max="10758" width="9.109375" style="45"/>
    <col min="10759" max="10759" width="9.109375" style="45" customWidth="1"/>
    <col min="10760" max="11008" width="9.109375" style="45"/>
    <col min="11009" max="11009" width="2.5546875" style="45" customWidth="1"/>
    <col min="11010" max="11011" width="4.33203125" style="45" customWidth="1"/>
    <col min="11012" max="11012" width="39" style="45" customWidth="1"/>
    <col min="11013" max="11013" width="55.6640625" style="45" customWidth="1"/>
    <col min="11014" max="11014" width="9.109375" style="45"/>
    <col min="11015" max="11015" width="9.109375" style="45" customWidth="1"/>
    <col min="11016" max="11264" width="9.109375" style="45"/>
    <col min="11265" max="11265" width="2.5546875" style="45" customWidth="1"/>
    <col min="11266" max="11267" width="4.33203125" style="45" customWidth="1"/>
    <col min="11268" max="11268" width="39" style="45" customWidth="1"/>
    <col min="11269" max="11269" width="55.6640625" style="45" customWidth="1"/>
    <col min="11270" max="11270" width="9.109375" style="45"/>
    <col min="11271" max="11271" width="9.109375" style="45" customWidth="1"/>
    <col min="11272" max="11520" width="9.109375" style="45"/>
    <col min="11521" max="11521" width="2.5546875" style="45" customWidth="1"/>
    <col min="11522" max="11523" width="4.33203125" style="45" customWidth="1"/>
    <col min="11524" max="11524" width="39" style="45" customWidth="1"/>
    <col min="11525" max="11525" width="55.6640625" style="45" customWidth="1"/>
    <col min="11526" max="11526" width="9.109375" style="45"/>
    <col min="11527" max="11527" width="9.109375" style="45" customWidth="1"/>
    <col min="11528" max="11776" width="9.109375" style="45"/>
    <col min="11777" max="11777" width="2.5546875" style="45" customWidth="1"/>
    <col min="11778" max="11779" width="4.33203125" style="45" customWidth="1"/>
    <col min="11780" max="11780" width="39" style="45" customWidth="1"/>
    <col min="11781" max="11781" width="55.6640625" style="45" customWidth="1"/>
    <col min="11782" max="11782" width="9.109375" style="45"/>
    <col min="11783" max="11783" width="9.109375" style="45" customWidth="1"/>
    <col min="11784" max="12032" width="9.109375" style="45"/>
    <col min="12033" max="12033" width="2.5546875" style="45" customWidth="1"/>
    <col min="12034" max="12035" width="4.33203125" style="45" customWidth="1"/>
    <col min="12036" max="12036" width="39" style="45" customWidth="1"/>
    <col min="12037" max="12037" width="55.6640625" style="45" customWidth="1"/>
    <col min="12038" max="12038" width="9.109375" style="45"/>
    <col min="12039" max="12039" width="9.109375" style="45" customWidth="1"/>
    <col min="12040" max="12288" width="9.109375" style="45"/>
    <col min="12289" max="12289" width="2.5546875" style="45" customWidth="1"/>
    <col min="12290" max="12291" width="4.33203125" style="45" customWidth="1"/>
    <col min="12292" max="12292" width="39" style="45" customWidth="1"/>
    <col min="12293" max="12293" width="55.6640625" style="45" customWidth="1"/>
    <col min="12294" max="12294" width="9.109375" style="45"/>
    <col min="12295" max="12295" width="9.109375" style="45" customWidth="1"/>
    <col min="12296" max="12544" width="9.109375" style="45"/>
    <col min="12545" max="12545" width="2.5546875" style="45" customWidth="1"/>
    <col min="12546" max="12547" width="4.33203125" style="45" customWidth="1"/>
    <col min="12548" max="12548" width="39" style="45" customWidth="1"/>
    <col min="12549" max="12549" width="55.6640625" style="45" customWidth="1"/>
    <col min="12550" max="12550" width="9.109375" style="45"/>
    <col min="12551" max="12551" width="9.109375" style="45" customWidth="1"/>
    <col min="12552" max="12800" width="9.109375" style="45"/>
    <col min="12801" max="12801" width="2.5546875" style="45" customWidth="1"/>
    <col min="12802" max="12803" width="4.33203125" style="45" customWidth="1"/>
    <col min="12804" max="12804" width="39" style="45" customWidth="1"/>
    <col min="12805" max="12805" width="55.6640625" style="45" customWidth="1"/>
    <col min="12806" max="12806" width="9.109375" style="45"/>
    <col min="12807" max="12807" width="9.109375" style="45" customWidth="1"/>
    <col min="12808" max="13056" width="9.109375" style="45"/>
    <col min="13057" max="13057" width="2.5546875" style="45" customWidth="1"/>
    <col min="13058" max="13059" width="4.33203125" style="45" customWidth="1"/>
    <col min="13060" max="13060" width="39" style="45" customWidth="1"/>
    <col min="13061" max="13061" width="55.6640625" style="45" customWidth="1"/>
    <col min="13062" max="13062" width="9.109375" style="45"/>
    <col min="13063" max="13063" width="9.109375" style="45" customWidth="1"/>
    <col min="13064" max="13312" width="9.109375" style="45"/>
    <col min="13313" max="13313" width="2.5546875" style="45" customWidth="1"/>
    <col min="13314" max="13315" width="4.33203125" style="45" customWidth="1"/>
    <col min="13316" max="13316" width="39" style="45" customWidth="1"/>
    <col min="13317" max="13317" width="55.6640625" style="45" customWidth="1"/>
    <col min="13318" max="13318" width="9.109375" style="45"/>
    <col min="13319" max="13319" width="9.109375" style="45" customWidth="1"/>
    <col min="13320" max="13568" width="9.109375" style="45"/>
    <col min="13569" max="13569" width="2.5546875" style="45" customWidth="1"/>
    <col min="13570" max="13571" width="4.33203125" style="45" customWidth="1"/>
    <col min="13572" max="13572" width="39" style="45" customWidth="1"/>
    <col min="13573" max="13573" width="55.6640625" style="45" customWidth="1"/>
    <col min="13574" max="13574" width="9.109375" style="45"/>
    <col min="13575" max="13575" width="9.109375" style="45" customWidth="1"/>
    <col min="13576" max="13824" width="9.109375" style="45"/>
    <col min="13825" max="13825" width="2.5546875" style="45" customWidth="1"/>
    <col min="13826" max="13827" width="4.33203125" style="45" customWidth="1"/>
    <col min="13828" max="13828" width="39" style="45" customWidth="1"/>
    <col min="13829" max="13829" width="55.6640625" style="45" customWidth="1"/>
    <col min="13830" max="13830" width="9.109375" style="45"/>
    <col min="13831" max="13831" width="9.109375" style="45" customWidth="1"/>
    <col min="13832" max="14080" width="9.109375" style="45"/>
    <col min="14081" max="14081" width="2.5546875" style="45" customWidth="1"/>
    <col min="14082" max="14083" width="4.33203125" style="45" customWidth="1"/>
    <col min="14084" max="14084" width="39" style="45" customWidth="1"/>
    <col min="14085" max="14085" width="55.6640625" style="45" customWidth="1"/>
    <col min="14086" max="14086" width="9.109375" style="45"/>
    <col min="14087" max="14087" width="9.109375" style="45" customWidth="1"/>
    <col min="14088" max="14336" width="9.109375" style="45"/>
    <col min="14337" max="14337" width="2.5546875" style="45" customWidth="1"/>
    <col min="14338" max="14339" width="4.33203125" style="45" customWidth="1"/>
    <col min="14340" max="14340" width="39" style="45" customWidth="1"/>
    <col min="14341" max="14341" width="55.6640625" style="45" customWidth="1"/>
    <col min="14342" max="14342" width="9.109375" style="45"/>
    <col min="14343" max="14343" width="9.109375" style="45" customWidth="1"/>
    <col min="14344" max="14592" width="9.109375" style="45"/>
    <col min="14593" max="14593" width="2.5546875" style="45" customWidth="1"/>
    <col min="14594" max="14595" width="4.33203125" style="45" customWidth="1"/>
    <col min="14596" max="14596" width="39" style="45" customWidth="1"/>
    <col min="14597" max="14597" width="55.6640625" style="45" customWidth="1"/>
    <col min="14598" max="14598" width="9.109375" style="45"/>
    <col min="14599" max="14599" width="9.109375" style="45" customWidth="1"/>
    <col min="14600" max="14848" width="9.109375" style="45"/>
    <col min="14849" max="14849" width="2.5546875" style="45" customWidth="1"/>
    <col min="14850" max="14851" width="4.33203125" style="45" customWidth="1"/>
    <col min="14852" max="14852" width="39" style="45" customWidth="1"/>
    <col min="14853" max="14853" width="55.6640625" style="45" customWidth="1"/>
    <col min="14854" max="14854" width="9.109375" style="45"/>
    <col min="14855" max="14855" width="9.109375" style="45" customWidth="1"/>
    <col min="14856" max="15104" width="9.109375" style="45"/>
    <col min="15105" max="15105" width="2.5546875" style="45" customWidth="1"/>
    <col min="15106" max="15107" width="4.33203125" style="45" customWidth="1"/>
    <col min="15108" max="15108" width="39" style="45" customWidth="1"/>
    <col min="15109" max="15109" width="55.6640625" style="45" customWidth="1"/>
    <col min="15110" max="15110" width="9.109375" style="45"/>
    <col min="15111" max="15111" width="9.109375" style="45" customWidth="1"/>
    <col min="15112" max="15360" width="9.109375" style="45"/>
    <col min="15361" max="15361" width="2.5546875" style="45" customWidth="1"/>
    <col min="15362" max="15363" width="4.33203125" style="45" customWidth="1"/>
    <col min="15364" max="15364" width="39" style="45" customWidth="1"/>
    <col min="15365" max="15365" width="55.6640625" style="45" customWidth="1"/>
    <col min="15366" max="15366" width="9.109375" style="45"/>
    <col min="15367" max="15367" width="9.109375" style="45" customWidth="1"/>
    <col min="15368" max="15616" width="9.109375" style="45"/>
    <col min="15617" max="15617" width="2.5546875" style="45" customWidth="1"/>
    <col min="15618" max="15619" width="4.33203125" style="45" customWidth="1"/>
    <col min="15620" max="15620" width="39" style="45" customWidth="1"/>
    <col min="15621" max="15621" width="55.6640625" style="45" customWidth="1"/>
    <col min="15622" max="15622" width="9.109375" style="45"/>
    <col min="15623" max="15623" width="9.109375" style="45" customWidth="1"/>
    <col min="15624" max="15872" width="9.109375" style="45"/>
    <col min="15873" max="15873" width="2.5546875" style="45" customWidth="1"/>
    <col min="15874" max="15875" width="4.33203125" style="45" customWidth="1"/>
    <col min="15876" max="15876" width="39" style="45" customWidth="1"/>
    <col min="15877" max="15877" width="55.6640625" style="45" customWidth="1"/>
    <col min="15878" max="15878" width="9.109375" style="45"/>
    <col min="15879" max="15879" width="9.109375" style="45" customWidth="1"/>
    <col min="15880" max="16128" width="9.109375" style="45"/>
    <col min="16129" max="16129" width="2.5546875" style="45" customWidth="1"/>
    <col min="16130" max="16131" width="4.33203125" style="45" customWidth="1"/>
    <col min="16132" max="16132" width="39" style="45" customWidth="1"/>
    <col min="16133" max="16133" width="55.6640625" style="45" customWidth="1"/>
    <col min="16134" max="16134" width="9.109375" style="45"/>
    <col min="16135" max="16135" width="9.109375" style="45" customWidth="1"/>
    <col min="16136" max="16384" width="9.109375" style="45"/>
  </cols>
  <sheetData>
    <row r="1" spans="1:26" s="43" customFormat="1" ht="15" customHeight="1" x14ac:dyDescent="0.3">
      <c r="A1" s="40"/>
      <c r="B1" s="1683" t="s">
        <v>1661</v>
      </c>
      <c r="C1" s="1683"/>
      <c r="D1" s="1683"/>
      <c r="E1" s="1420" t="s">
        <v>1654</v>
      </c>
      <c r="F1" s="41"/>
      <c r="G1" s="42"/>
      <c r="H1" s="42"/>
      <c r="I1" s="42"/>
    </row>
    <row r="2" spans="1:26" ht="53.25" customHeight="1" x14ac:dyDescent="0.3">
      <c r="A2" s="44"/>
      <c r="B2" s="1711" t="s">
        <v>1882</v>
      </c>
      <c r="C2" s="1711"/>
      <c r="D2" s="1711"/>
      <c r="E2" s="1711"/>
      <c r="F2" s="44"/>
      <c r="G2" s="44"/>
      <c r="H2" s="44"/>
      <c r="I2" s="44"/>
      <c r="J2" s="44"/>
      <c r="K2" s="44"/>
      <c r="L2" s="44"/>
      <c r="M2" s="44"/>
      <c r="N2" s="44"/>
      <c r="O2" s="44"/>
      <c r="P2" s="44"/>
      <c r="Q2" s="44"/>
      <c r="R2" s="44"/>
      <c r="S2" s="44"/>
      <c r="T2" s="44"/>
      <c r="U2" s="44"/>
      <c r="V2" s="44"/>
      <c r="W2" s="44"/>
      <c r="X2" s="44"/>
      <c r="Y2" s="44"/>
      <c r="Z2" s="44"/>
    </row>
    <row r="3" spans="1:26" ht="70.5" customHeight="1" x14ac:dyDescent="0.3">
      <c r="A3" s="44"/>
      <c r="B3" s="1712" t="s">
        <v>1883</v>
      </c>
      <c r="C3" s="1712"/>
      <c r="D3" s="1712"/>
      <c r="E3" s="1712"/>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3">
      <c r="A4" s="44"/>
      <c r="B4" s="1713" t="s">
        <v>1662</v>
      </c>
      <c r="C4" s="1714"/>
      <c r="D4" s="1714"/>
      <c r="E4" s="1715"/>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3">
      <c r="A5" s="44"/>
      <c r="B5" s="1716" t="s">
        <v>1663</v>
      </c>
      <c r="C5" s="1717"/>
      <c r="D5" s="1718"/>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3">
      <c r="A6" s="44"/>
      <c r="B6" s="1708" t="s">
        <v>1666</v>
      </c>
      <c r="C6" s="1709"/>
      <c r="D6" s="1710"/>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3">
      <c r="A7" s="44"/>
      <c r="B7" s="1708" t="s">
        <v>1669</v>
      </c>
      <c r="C7" s="1709"/>
      <c r="D7" s="1710"/>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3">
      <c r="A8" s="44"/>
      <c r="B8" s="1708" t="s">
        <v>1672</v>
      </c>
      <c r="C8" s="1709"/>
      <c r="D8" s="1710"/>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3">
      <c r="A9" s="44"/>
      <c r="B9" s="1708" t="s">
        <v>1675</v>
      </c>
      <c r="C9" s="1709"/>
      <c r="D9" s="1710"/>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3">
      <c r="A10" s="44"/>
      <c r="B10" s="1708" t="s">
        <v>1677</v>
      </c>
      <c r="C10" s="1709"/>
      <c r="D10" s="1710"/>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3">
      <c r="A11" s="44"/>
      <c r="B11" s="1708" t="s">
        <v>1679</v>
      </c>
      <c r="C11" s="1709"/>
      <c r="D11" s="1710"/>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3">
      <c r="A12" s="44"/>
      <c r="B12" s="1708" t="s">
        <v>1680</v>
      </c>
      <c r="C12" s="1709"/>
      <c r="D12" s="1710"/>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3">
      <c r="A13" s="44"/>
      <c r="B13" s="1719"/>
      <c r="C13" s="1720"/>
      <c r="D13" s="1721"/>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3">
      <c r="A14" s="44"/>
      <c r="B14" s="1713" t="s">
        <v>1884</v>
      </c>
      <c r="C14" s="1714"/>
      <c r="D14" s="1714"/>
      <c r="E14" s="1715"/>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3">
      <c r="A15" s="44"/>
      <c r="B15" s="51" t="s">
        <v>1681</v>
      </c>
      <c r="C15" s="1722" t="s">
        <v>1885</v>
      </c>
      <c r="D15" s="1722"/>
      <c r="E15" s="1723"/>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3">
      <c r="A16" s="44"/>
      <c r="B16" s="52" t="s">
        <v>1682</v>
      </c>
      <c r="C16" s="53"/>
      <c r="D16" s="1724" t="s">
        <v>1683</v>
      </c>
      <c r="E16" s="1725"/>
      <c r="F16" s="44"/>
      <c r="G16" s="44" t="s">
        <v>1740</v>
      </c>
      <c r="H16" s="44"/>
      <c r="I16" s="44"/>
      <c r="J16" s="44"/>
      <c r="K16" s="44"/>
      <c r="L16" s="44"/>
      <c r="M16" s="44"/>
      <c r="N16" s="44"/>
      <c r="O16" s="44"/>
      <c r="P16" s="44"/>
      <c r="Q16" s="44"/>
      <c r="R16" s="44"/>
      <c r="S16" s="44"/>
      <c r="T16" s="44"/>
      <c r="U16" s="44"/>
      <c r="V16" s="44"/>
      <c r="W16" s="44"/>
      <c r="X16" s="44"/>
      <c r="Y16" s="44"/>
      <c r="Z16" s="44"/>
    </row>
    <row r="17" spans="1:26" ht="15" customHeight="1" x14ac:dyDescent="0.3">
      <c r="A17" s="44"/>
      <c r="B17" s="54" t="s">
        <v>1684</v>
      </c>
      <c r="C17" s="55"/>
      <c r="D17" s="1706" t="s">
        <v>1685</v>
      </c>
      <c r="E17" s="1707"/>
      <c r="F17" s="44"/>
      <c r="G17" s="44" t="s">
        <v>1742</v>
      </c>
      <c r="H17" s="44"/>
      <c r="I17" s="44"/>
      <c r="J17" s="44"/>
      <c r="K17" s="44"/>
      <c r="L17" s="44"/>
      <c r="M17" s="44"/>
      <c r="N17" s="44"/>
      <c r="O17" s="44"/>
      <c r="P17" s="44"/>
      <c r="Q17" s="44"/>
      <c r="R17" s="44"/>
      <c r="S17" s="44"/>
      <c r="T17" s="44"/>
      <c r="U17" s="44"/>
      <c r="V17" s="44"/>
      <c r="W17" s="44"/>
      <c r="X17" s="44"/>
      <c r="Y17" s="44"/>
      <c r="Z17" s="44"/>
    </row>
    <row r="18" spans="1:26" ht="15" customHeight="1" x14ac:dyDescent="0.3">
      <c r="A18" s="44"/>
      <c r="B18" s="54" t="s">
        <v>1686</v>
      </c>
      <c r="C18" s="55"/>
      <c r="D18" s="1706" t="s">
        <v>1687</v>
      </c>
      <c r="E18" s="1707"/>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3">
      <c r="A19" s="44"/>
      <c r="B19" s="1726" t="s">
        <v>1688</v>
      </c>
      <c r="C19" s="1728"/>
      <c r="D19" s="1706" t="s">
        <v>1689</v>
      </c>
      <c r="E19" s="1707"/>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3">
      <c r="A20" s="44"/>
      <c r="B20" s="1727"/>
      <c r="C20" s="1729"/>
      <c r="D20" s="1730"/>
      <c r="E20" s="1731"/>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3">
      <c r="A21" s="44"/>
      <c r="B21" s="51" t="s">
        <v>1690</v>
      </c>
      <c r="C21" s="1722" t="s">
        <v>1886</v>
      </c>
      <c r="D21" s="1722"/>
      <c r="E21" s="1723"/>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3">
      <c r="A22" s="44"/>
      <c r="B22" s="52" t="s">
        <v>1682</v>
      </c>
      <c r="C22" s="53"/>
      <c r="D22" s="1724" t="s">
        <v>1691</v>
      </c>
      <c r="E22" s="1725"/>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3">
      <c r="A23" s="44"/>
      <c r="B23" s="54" t="s">
        <v>1684</v>
      </c>
      <c r="C23" s="55"/>
      <c r="D23" s="1706" t="s">
        <v>1693</v>
      </c>
      <c r="E23" s="1707"/>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3">
      <c r="A24" s="44"/>
      <c r="B24" s="54" t="s">
        <v>1686</v>
      </c>
      <c r="C24" s="55"/>
      <c r="D24" s="1706" t="s">
        <v>1694</v>
      </c>
      <c r="E24" s="1707"/>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3">
      <c r="A25" s="44"/>
      <c r="B25" s="54" t="s">
        <v>1688</v>
      </c>
      <c r="C25" s="55"/>
      <c r="D25" s="1706" t="s">
        <v>1695</v>
      </c>
      <c r="E25" s="1707"/>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3">
      <c r="A26" s="44"/>
      <c r="B26" s="54" t="s">
        <v>1696</v>
      </c>
      <c r="C26" s="55"/>
      <c r="D26" s="1706" t="s">
        <v>1697</v>
      </c>
      <c r="E26" s="1707"/>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3">
      <c r="A27" s="44"/>
      <c r="B27" s="56" t="s">
        <v>1698</v>
      </c>
      <c r="C27" s="57"/>
      <c r="D27" s="1732" t="s">
        <v>1689</v>
      </c>
      <c r="E27" s="1733"/>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3">
      <c r="A28" s="44"/>
      <c r="B28" s="51" t="s">
        <v>1699</v>
      </c>
      <c r="C28" s="1722" t="s">
        <v>1700</v>
      </c>
      <c r="D28" s="1722"/>
      <c r="E28" s="1723"/>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3">
      <c r="A29" s="44"/>
      <c r="B29" s="52" t="s">
        <v>1682</v>
      </c>
      <c r="C29" s="53"/>
      <c r="D29" s="1724" t="s">
        <v>1701</v>
      </c>
      <c r="E29" s="1725"/>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3">
      <c r="A30" s="44"/>
      <c r="B30" s="54" t="s">
        <v>1684</v>
      </c>
      <c r="C30" s="55"/>
      <c r="D30" s="1706" t="s">
        <v>1702</v>
      </c>
      <c r="E30" s="1707"/>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3">
      <c r="A31" s="44"/>
      <c r="B31" s="54" t="s">
        <v>1686</v>
      </c>
      <c r="C31" s="55"/>
      <c r="D31" s="1706" t="s">
        <v>1703</v>
      </c>
      <c r="E31" s="1707"/>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3">
      <c r="A32" s="44"/>
      <c r="B32" s="56" t="s">
        <v>1688</v>
      </c>
      <c r="C32" s="57"/>
      <c r="D32" s="1732" t="s">
        <v>1704</v>
      </c>
      <c r="E32" s="1733"/>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3">
      <c r="A33" s="44"/>
      <c r="B33" s="58" t="s">
        <v>1705</v>
      </c>
      <c r="C33" s="1722" t="s">
        <v>1887</v>
      </c>
      <c r="D33" s="1722"/>
      <c r="E33" s="1723"/>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3">
      <c r="A34" s="44"/>
      <c r="B34" s="52" t="s">
        <v>1682</v>
      </c>
      <c r="C34" s="53"/>
      <c r="D34" s="1724" t="s">
        <v>1894</v>
      </c>
      <c r="E34" s="1725"/>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3">
      <c r="A35" s="44"/>
      <c r="B35" s="54" t="s">
        <v>1684</v>
      </c>
      <c r="C35" s="55"/>
      <c r="D35" s="1706" t="s">
        <v>1707</v>
      </c>
      <c r="E35" s="1707"/>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3">
      <c r="A36" s="44"/>
      <c r="B36" s="54" t="s">
        <v>1686</v>
      </c>
      <c r="C36" s="55"/>
      <c r="D36" s="1706" t="s">
        <v>1708</v>
      </c>
      <c r="E36" s="1707"/>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3">
      <c r="A37" s="44"/>
      <c r="B37" s="56" t="s">
        <v>1688</v>
      </c>
      <c r="C37" s="57"/>
      <c r="D37" s="1743" t="s">
        <v>1895</v>
      </c>
      <c r="E37" s="1744"/>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3">
      <c r="A38" s="44"/>
      <c r="B38" s="58" t="s">
        <v>1710</v>
      </c>
      <c r="C38" s="1722" t="s">
        <v>1888</v>
      </c>
      <c r="D38" s="1722"/>
      <c r="E38" s="1723"/>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3">
      <c r="A39" s="44"/>
      <c r="B39" s="52" t="s">
        <v>1682</v>
      </c>
      <c r="C39" s="53"/>
      <c r="D39" s="1741" t="s">
        <v>1711</v>
      </c>
      <c r="E39" s="1742"/>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3">
      <c r="A40" s="44"/>
      <c r="B40" s="1734" t="s">
        <v>1684</v>
      </c>
      <c r="C40" s="1728"/>
      <c r="D40" s="1737" t="s">
        <v>1712</v>
      </c>
      <c r="E40" s="1738"/>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3">
      <c r="A41" s="44"/>
      <c r="B41" s="1735"/>
      <c r="C41" s="1736"/>
      <c r="D41" s="1739"/>
      <c r="E41" s="1740"/>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3">
      <c r="A42" s="44"/>
      <c r="B42" s="59" t="s">
        <v>1686</v>
      </c>
      <c r="C42" s="60"/>
      <c r="D42" s="1737" t="s">
        <v>1713</v>
      </c>
      <c r="E42" s="1738"/>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3">
      <c r="A43" s="44"/>
      <c r="B43" s="54" t="s">
        <v>1688</v>
      </c>
      <c r="C43" s="55"/>
      <c r="D43" s="1737" t="s">
        <v>1714</v>
      </c>
      <c r="E43" s="1738"/>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3">
      <c r="A44" s="44"/>
      <c r="B44" s="1726" t="s">
        <v>1696</v>
      </c>
      <c r="C44" s="1745"/>
      <c r="D44" s="1747" t="s">
        <v>1689</v>
      </c>
      <c r="E44" s="1748"/>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3">
      <c r="A45" s="44"/>
      <c r="B45" s="1727"/>
      <c r="C45" s="1746"/>
      <c r="D45" s="1730"/>
      <c r="E45" s="1731"/>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3">
      <c r="A46" s="44"/>
      <c r="B46" s="58" t="s">
        <v>1716</v>
      </c>
      <c r="C46" s="1722" t="s">
        <v>1889</v>
      </c>
      <c r="D46" s="1722"/>
      <c r="E46" s="1723"/>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3">
      <c r="A47" s="44"/>
      <c r="B47" s="52" t="s">
        <v>1682</v>
      </c>
      <c r="C47" s="53"/>
      <c r="D47" s="1724" t="s">
        <v>1717</v>
      </c>
      <c r="E47" s="1725"/>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3">
      <c r="A48" s="44"/>
      <c r="B48" s="59" t="s">
        <v>1684</v>
      </c>
      <c r="C48" s="60"/>
      <c r="D48" s="1706" t="s">
        <v>1719</v>
      </c>
      <c r="E48" s="1707"/>
      <c r="F48" s="44"/>
      <c r="G48" s="44" t="s">
        <v>265</v>
      </c>
      <c r="H48" s="44"/>
      <c r="I48" s="44"/>
      <c r="J48" s="44"/>
      <c r="K48" s="44"/>
      <c r="L48" s="44"/>
      <c r="M48" s="44"/>
      <c r="N48" s="44"/>
      <c r="O48" s="44"/>
      <c r="P48" s="44"/>
      <c r="Q48" s="44"/>
      <c r="R48" s="44"/>
      <c r="S48" s="44"/>
      <c r="T48" s="44"/>
      <c r="U48" s="44"/>
      <c r="V48" s="44"/>
      <c r="W48" s="44"/>
      <c r="X48" s="44"/>
      <c r="Y48" s="44"/>
      <c r="Z48" s="44"/>
    </row>
    <row r="49" spans="1:26" ht="15" customHeight="1" x14ac:dyDescent="0.3">
      <c r="A49" s="44"/>
      <c r="B49" s="59" t="s">
        <v>1686</v>
      </c>
      <c r="C49" s="60"/>
      <c r="D49" s="1706" t="s">
        <v>1721</v>
      </c>
      <c r="E49" s="1707"/>
      <c r="F49" s="44"/>
      <c r="G49" s="44" t="s">
        <v>1718</v>
      </c>
      <c r="H49" s="44"/>
      <c r="I49" s="44"/>
      <c r="J49" s="44"/>
      <c r="K49" s="44"/>
      <c r="L49" s="44"/>
      <c r="M49" s="44"/>
      <c r="N49" s="44"/>
      <c r="O49" s="44"/>
      <c r="P49" s="44"/>
      <c r="Q49" s="44"/>
      <c r="R49" s="44"/>
      <c r="S49" s="44"/>
      <c r="T49" s="44"/>
      <c r="U49" s="44"/>
      <c r="V49" s="44"/>
      <c r="W49" s="44"/>
      <c r="X49" s="44"/>
      <c r="Y49" s="44"/>
      <c r="Z49" s="44"/>
    </row>
    <row r="50" spans="1:26" ht="15" customHeight="1" x14ac:dyDescent="0.3">
      <c r="A50" s="44"/>
      <c r="B50" s="54" t="s">
        <v>1688</v>
      </c>
      <c r="C50" s="55"/>
      <c r="D50" s="1706" t="s">
        <v>1722</v>
      </c>
      <c r="E50" s="1707"/>
      <c r="F50" s="44"/>
      <c r="G50" s="44" t="s">
        <v>1720</v>
      </c>
      <c r="H50" s="44"/>
      <c r="I50" s="44"/>
      <c r="J50" s="44"/>
      <c r="K50" s="44"/>
      <c r="L50" s="44"/>
      <c r="M50" s="44"/>
      <c r="N50" s="44"/>
      <c r="O50" s="44"/>
      <c r="P50" s="44"/>
      <c r="Q50" s="44"/>
      <c r="R50" s="44"/>
      <c r="S50" s="44"/>
      <c r="T50" s="44"/>
      <c r="U50" s="44"/>
      <c r="V50" s="44"/>
      <c r="W50" s="44"/>
      <c r="X50" s="44"/>
      <c r="Y50" s="44"/>
      <c r="Z50" s="44"/>
    </row>
    <row r="51" spans="1:26" ht="15" customHeight="1" x14ac:dyDescent="0.3">
      <c r="A51" s="44"/>
      <c r="B51" s="54" t="s">
        <v>1696</v>
      </c>
      <c r="C51" s="55"/>
      <c r="D51" s="1706" t="s">
        <v>1723</v>
      </c>
      <c r="E51" s="1707"/>
      <c r="F51" s="44"/>
      <c r="G51" s="44" t="s">
        <v>269</v>
      </c>
      <c r="H51" s="44"/>
      <c r="I51" s="44"/>
      <c r="J51" s="44"/>
      <c r="K51" s="44"/>
      <c r="L51" s="44"/>
      <c r="M51" s="44"/>
      <c r="N51" s="44"/>
      <c r="O51" s="44"/>
      <c r="P51" s="44"/>
      <c r="Q51" s="44"/>
      <c r="R51" s="44"/>
      <c r="S51" s="44"/>
      <c r="T51" s="44"/>
      <c r="U51" s="44"/>
      <c r="V51" s="44"/>
      <c r="W51" s="44"/>
      <c r="X51" s="44"/>
      <c r="Y51" s="44"/>
      <c r="Z51" s="44"/>
    </row>
    <row r="52" spans="1:26" ht="15" customHeight="1" x14ac:dyDescent="0.3">
      <c r="A52" s="44"/>
      <c r="B52" s="1734" t="s">
        <v>1698</v>
      </c>
      <c r="C52" s="1728"/>
      <c r="D52" s="1706" t="s">
        <v>1689</v>
      </c>
      <c r="E52" s="1707"/>
      <c r="F52" s="44"/>
      <c r="G52" s="44" t="s">
        <v>275</v>
      </c>
      <c r="H52" s="44"/>
      <c r="I52" s="44"/>
      <c r="J52" s="44"/>
      <c r="K52" s="44"/>
      <c r="L52" s="44"/>
      <c r="M52" s="44"/>
      <c r="N52" s="44"/>
      <c r="O52" s="44"/>
      <c r="P52" s="44"/>
      <c r="Q52" s="44"/>
      <c r="R52" s="44"/>
      <c r="S52" s="44"/>
      <c r="T52" s="44"/>
      <c r="U52" s="44"/>
      <c r="V52" s="44"/>
      <c r="W52" s="44"/>
      <c r="X52" s="44"/>
      <c r="Y52" s="44"/>
      <c r="Z52" s="44"/>
    </row>
    <row r="53" spans="1:26" ht="22.5" customHeight="1" x14ac:dyDescent="0.3">
      <c r="A53" s="44"/>
      <c r="B53" s="1749"/>
      <c r="C53" s="1729"/>
      <c r="D53" s="1750"/>
      <c r="E53" s="1751"/>
      <c r="F53" s="44"/>
      <c r="G53" s="44" t="s">
        <v>2</v>
      </c>
      <c r="H53" s="44"/>
      <c r="I53" s="44"/>
      <c r="J53" s="44"/>
      <c r="K53" s="44"/>
      <c r="L53" s="44"/>
      <c r="M53" s="44"/>
      <c r="N53" s="44"/>
      <c r="O53" s="44"/>
      <c r="P53" s="44"/>
      <c r="Q53" s="44"/>
      <c r="R53" s="44"/>
      <c r="S53" s="44"/>
      <c r="T53" s="44"/>
      <c r="U53" s="44"/>
      <c r="V53" s="44"/>
      <c r="W53" s="44"/>
      <c r="X53" s="44"/>
      <c r="Y53" s="44"/>
      <c r="Z53" s="44"/>
    </row>
    <row r="54" spans="1:26" ht="26.25" customHeight="1" x14ac:dyDescent="0.3">
      <c r="A54" s="44"/>
      <c r="B54" s="58" t="s">
        <v>1724</v>
      </c>
      <c r="C54" s="1722" t="s">
        <v>1725</v>
      </c>
      <c r="D54" s="1722"/>
      <c r="E54" s="1723"/>
      <c r="F54" s="44"/>
      <c r="G54" s="44" t="s">
        <v>68</v>
      </c>
      <c r="H54" s="44"/>
      <c r="I54" s="44"/>
      <c r="J54" s="44"/>
      <c r="K54" s="44"/>
      <c r="L54" s="44"/>
      <c r="M54" s="44"/>
      <c r="N54" s="44"/>
      <c r="O54" s="44"/>
      <c r="P54" s="44"/>
      <c r="Q54" s="44"/>
      <c r="R54" s="44"/>
      <c r="S54" s="44"/>
      <c r="T54" s="44"/>
      <c r="U54" s="44"/>
      <c r="V54" s="44"/>
      <c r="W54" s="44"/>
      <c r="X54" s="44"/>
      <c r="Y54" s="44"/>
      <c r="Z54" s="44"/>
    </row>
    <row r="55" spans="1:26" x14ac:dyDescent="0.3">
      <c r="A55" s="44"/>
      <c r="B55" s="52" t="s">
        <v>1682</v>
      </c>
      <c r="C55" s="53"/>
      <c r="D55" s="1724" t="s">
        <v>1726</v>
      </c>
      <c r="E55" s="1725"/>
      <c r="F55" s="44"/>
      <c r="G55" s="44" t="s">
        <v>458</v>
      </c>
      <c r="H55" s="44"/>
      <c r="I55" s="44"/>
      <c r="J55" s="44"/>
      <c r="K55" s="44"/>
      <c r="L55" s="44"/>
      <c r="M55" s="44"/>
      <c r="N55" s="44"/>
      <c r="O55" s="44"/>
      <c r="P55" s="44"/>
      <c r="Q55" s="44"/>
      <c r="R55" s="44"/>
      <c r="S55" s="44"/>
      <c r="T55" s="44"/>
      <c r="U55" s="44"/>
      <c r="V55" s="44"/>
      <c r="W55" s="44"/>
      <c r="X55" s="44"/>
      <c r="Y55" s="44"/>
      <c r="Z55" s="44"/>
    </row>
    <row r="56" spans="1:26" ht="15" customHeight="1" x14ac:dyDescent="0.3">
      <c r="A56" s="44"/>
      <c r="B56" s="1726" t="s">
        <v>1684</v>
      </c>
      <c r="C56" s="1745"/>
      <c r="D56" s="1706" t="s">
        <v>1727</v>
      </c>
      <c r="E56" s="1707"/>
      <c r="F56" s="44"/>
      <c r="G56" s="44" t="s">
        <v>329</v>
      </c>
      <c r="H56" s="44"/>
      <c r="I56" s="44"/>
      <c r="J56" s="44"/>
      <c r="K56" s="44"/>
      <c r="L56" s="44"/>
      <c r="M56" s="44"/>
      <c r="N56" s="44"/>
      <c r="O56" s="44"/>
      <c r="P56" s="44"/>
      <c r="Q56" s="44"/>
      <c r="R56" s="44"/>
      <c r="S56" s="44"/>
      <c r="T56" s="44"/>
      <c r="U56" s="44"/>
      <c r="V56" s="44"/>
      <c r="W56" s="44"/>
      <c r="X56" s="44"/>
      <c r="Y56" s="44"/>
      <c r="Z56" s="44"/>
    </row>
    <row r="57" spans="1:26" ht="22.5" customHeight="1" x14ac:dyDescent="0.3">
      <c r="A57" s="44"/>
      <c r="B57" s="1726"/>
      <c r="C57" s="1745"/>
      <c r="D57" s="1752"/>
      <c r="E57" s="1753"/>
      <c r="F57" s="44"/>
      <c r="G57" s="44" t="s">
        <v>145</v>
      </c>
      <c r="H57" s="44"/>
      <c r="I57" s="44"/>
      <c r="J57" s="44"/>
      <c r="K57" s="44"/>
      <c r="L57" s="44"/>
      <c r="M57" s="44"/>
      <c r="N57" s="44"/>
      <c r="O57" s="44"/>
      <c r="P57" s="44"/>
      <c r="Q57" s="44"/>
      <c r="R57" s="44"/>
      <c r="S57" s="44"/>
      <c r="T57" s="44"/>
      <c r="U57" s="44"/>
      <c r="V57" s="44"/>
      <c r="W57" s="44"/>
      <c r="X57" s="44"/>
      <c r="Y57" s="44"/>
      <c r="Z57" s="44"/>
    </row>
    <row r="58" spans="1:26" x14ac:dyDescent="0.3">
      <c r="A58" s="44"/>
      <c r="B58" s="54" t="s">
        <v>1686</v>
      </c>
      <c r="C58" s="55"/>
      <c r="D58" s="1706" t="s">
        <v>1728</v>
      </c>
      <c r="E58" s="1707"/>
      <c r="F58" s="44"/>
      <c r="G58" s="44" t="s">
        <v>630</v>
      </c>
      <c r="H58" s="44"/>
      <c r="I58" s="44"/>
      <c r="J58" s="44"/>
      <c r="K58" s="44"/>
      <c r="L58" s="44"/>
      <c r="M58" s="44"/>
      <c r="N58" s="44"/>
      <c r="O58" s="44"/>
      <c r="P58" s="44"/>
      <c r="Q58" s="44"/>
      <c r="R58" s="44"/>
      <c r="S58" s="44"/>
      <c r="T58" s="44"/>
      <c r="U58" s="44"/>
      <c r="V58" s="44"/>
      <c r="W58" s="44"/>
      <c r="X58" s="44"/>
      <c r="Y58" s="44"/>
      <c r="Z58" s="44"/>
    </row>
    <row r="59" spans="1:26" ht="15" customHeight="1" x14ac:dyDescent="0.3">
      <c r="A59" s="44"/>
      <c r="B59" s="56" t="s">
        <v>1688</v>
      </c>
      <c r="C59" s="57"/>
      <c r="D59" s="1732" t="s">
        <v>1729</v>
      </c>
      <c r="E59" s="1733"/>
      <c r="F59" s="44"/>
      <c r="G59" s="44" t="s">
        <v>197</v>
      </c>
      <c r="H59" s="44"/>
      <c r="I59" s="44"/>
      <c r="J59" s="44"/>
      <c r="K59" s="44"/>
      <c r="L59" s="44"/>
      <c r="M59" s="44"/>
      <c r="N59" s="44"/>
      <c r="O59" s="44"/>
      <c r="P59" s="44"/>
      <c r="Q59" s="44"/>
      <c r="R59" s="44"/>
      <c r="S59" s="44"/>
      <c r="T59" s="44"/>
      <c r="U59" s="44"/>
      <c r="V59" s="44"/>
      <c r="W59" s="44"/>
      <c r="X59" s="44"/>
      <c r="Y59" s="44"/>
      <c r="Z59" s="44"/>
    </row>
    <row r="60" spans="1:26" ht="26.25" customHeight="1" x14ac:dyDescent="0.3">
      <c r="A60" s="44"/>
      <c r="B60" s="58" t="s">
        <v>1730</v>
      </c>
      <c r="C60" s="1722" t="s">
        <v>1890</v>
      </c>
      <c r="D60" s="1722"/>
      <c r="E60" s="1723"/>
      <c r="F60" s="44"/>
      <c r="G60" s="44" t="s">
        <v>288</v>
      </c>
      <c r="H60" s="44"/>
      <c r="I60" s="44"/>
      <c r="J60" s="44"/>
      <c r="K60" s="44"/>
      <c r="L60" s="44"/>
      <c r="M60" s="44"/>
      <c r="N60" s="44"/>
      <c r="O60" s="44"/>
      <c r="P60" s="44"/>
      <c r="Q60" s="44"/>
      <c r="R60" s="44"/>
      <c r="S60" s="44"/>
      <c r="T60" s="44"/>
      <c r="U60" s="44"/>
      <c r="V60" s="44"/>
      <c r="W60" s="44"/>
      <c r="X60" s="44"/>
      <c r="Y60" s="44"/>
      <c r="Z60" s="44"/>
    </row>
    <row r="61" spans="1:26" ht="15" customHeight="1" x14ac:dyDescent="0.3">
      <c r="A61" s="44"/>
      <c r="B61" s="52" t="s">
        <v>1682</v>
      </c>
      <c r="C61" s="53"/>
      <c r="D61" s="1724" t="s">
        <v>1732</v>
      </c>
      <c r="E61" s="1725"/>
      <c r="F61" s="44"/>
      <c r="G61" s="44" t="s">
        <v>336</v>
      </c>
      <c r="H61" s="44"/>
      <c r="I61" s="44"/>
      <c r="J61" s="44"/>
      <c r="K61" s="44"/>
      <c r="L61" s="44"/>
      <c r="M61" s="44"/>
      <c r="N61" s="44"/>
      <c r="O61" s="44"/>
      <c r="P61" s="44"/>
      <c r="Q61" s="44"/>
      <c r="R61" s="44"/>
      <c r="S61" s="44"/>
      <c r="T61" s="44"/>
      <c r="U61" s="44"/>
      <c r="V61" s="44"/>
      <c r="W61" s="44"/>
      <c r="X61" s="44"/>
      <c r="Y61" s="44"/>
      <c r="Z61" s="44"/>
    </row>
    <row r="62" spans="1:26" ht="15" customHeight="1" x14ac:dyDescent="0.3">
      <c r="A62" s="44"/>
      <c r="B62" s="1726" t="s">
        <v>1684</v>
      </c>
      <c r="C62" s="1745"/>
      <c r="D62" s="1706" t="s">
        <v>1734</v>
      </c>
      <c r="E62" s="1707"/>
      <c r="F62" s="44"/>
      <c r="G62" s="44" t="s">
        <v>1731</v>
      </c>
      <c r="H62" s="44"/>
      <c r="I62" s="44"/>
      <c r="J62" s="44"/>
      <c r="K62" s="44"/>
      <c r="L62" s="44"/>
      <c r="M62" s="44"/>
      <c r="N62" s="44"/>
      <c r="O62" s="44"/>
      <c r="P62" s="44"/>
      <c r="Q62" s="44"/>
      <c r="R62" s="44"/>
      <c r="S62" s="44"/>
      <c r="T62" s="44"/>
      <c r="U62" s="44"/>
      <c r="V62" s="44"/>
      <c r="W62" s="44"/>
      <c r="X62" s="44"/>
      <c r="Y62" s="44"/>
      <c r="Z62" s="44"/>
    </row>
    <row r="63" spans="1:26" ht="22.5" customHeight="1" x14ac:dyDescent="0.3">
      <c r="A63" s="44"/>
      <c r="B63" s="1726"/>
      <c r="C63" s="1745"/>
      <c r="D63" s="1752"/>
      <c r="E63" s="1753"/>
      <c r="F63" s="44"/>
      <c r="G63" s="44" t="s">
        <v>1733</v>
      </c>
      <c r="H63" s="44"/>
      <c r="I63" s="44"/>
      <c r="J63" s="44"/>
      <c r="K63" s="44"/>
      <c r="L63" s="44"/>
      <c r="M63" s="44"/>
      <c r="N63" s="44"/>
      <c r="O63" s="44"/>
      <c r="P63" s="44"/>
      <c r="Q63" s="44"/>
      <c r="R63" s="44"/>
      <c r="S63" s="44"/>
      <c r="T63" s="44"/>
      <c r="U63" s="44"/>
      <c r="V63" s="44"/>
      <c r="W63" s="44"/>
      <c r="X63" s="44"/>
      <c r="Y63" s="44"/>
      <c r="Z63" s="44"/>
    </row>
    <row r="64" spans="1:26" ht="15" customHeight="1" x14ac:dyDescent="0.3">
      <c r="A64" s="44"/>
      <c r="B64" s="54" t="s">
        <v>1686</v>
      </c>
      <c r="C64" s="55"/>
      <c r="D64" s="1706" t="s">
        <v>1736</v>
      </c>
      <c r="E64" s="1707"/>
      <c r="F64" s="44"/>
      <c r="G64" s="44" t="s">
        <v>622</v>
      </c>
      <c r="H64" s="44"/>
      <c r="I64" s="44"/>
      <c r="J64" s="44"/>
      <c r="K64" s="44"/>
      <c r="L64" s="44"/>
      <c r="M64" s="44"/>
      <c r="N64" s="44"/>
      <c r="O64" s="44"/>
      <c r="P64" s="44"/>
      <c r="Q64" s="44"/>
      <c r="R64" s="44"/>
      <c r="S64" s="44"/>
      <c r="T64" s="44"/>
      <c r="U64" s="44"/>
      <c r="V64" s="44"/>
      <c r="W64" s="44"/>
      <c r="X64" s="44"/>
      <c r="Y64" s="44"/>
      <c r="Z64" s="44"/>
    </row>
    <row r="65" spans="1:26" ht="15" customHeight="1" x14ac:dyDescent="0.3">
      <c r="A65" s="44"/>
      <c r="B65" s="56" t="s">
        <v>1688</v>
      </c>
      <c r="C65" s="57"/>
      <c r="D65" s="1732" t="s">
        <v>1737</v>
      </c>
      <c r="E65" s="1733"/>
      <c r="F65" s="44"/>
      <c r="G65" s="44" t="s">
        <v>1735</v>
      </c>
      <c r="H65" s="44"/>
      <c r="I65" s="44"/>
      <c r="J65" s="44"/>
      <c r="K65" s="44"/>
      <c r="L65" s="44"/>
      <c r="M65" s="44"/>
      <c r="N65" s="44"/>
      <c r="O65" s="44"/>
      <c r="P65" s="44"/>
      <c r="Q65" s="44"/>
      <c r="R65" s="44"/>
      <c r="S65" s="44"/>
      <c r="T65" s="44"/>
      <c r="U65" s="44"/>
      <c r="V65" s="44"/>
      <c r="W65" s="44"/>
      <c r="X65" s="44"/>
      <c r="Y65" s="44"/>
      <c r="Z65" s="44"/>
    </row>
    <row r="66" spans="1:26" ht="26.25" customHeight="1" x14ac:dyDescent="0.3">
      <c r="A66" s="44"/>
      <c r="B66" s="58" t="s">
        <v>1738</v>
      </c>
      <c r="C66" s="1722" t="s">
        <v>1891</v>
      </c>
      <c r="D66" s="1722"/>
      <c r="E66" s="1723"/>
      <c r="F66" s="44"/>
      <c r="G66" s="44" t="s">
        <v>291</v>
      </c>
      <c r="H66" s="44"/>
      <c r="I66" s="44"/>
      <c r="J66" s="44"/>
      <c r="K66" s="44"/>
      <c r="L66" s="44"/>
      <c r="M66" s="44"/>
      <c r="N66" s="44"/>
      <c r="O66" s="44"/>
      <c r="P66" s="44"/>
      <c r="Q66" s="44"/>
      <c r="R66" s="44"/>
      <c r="S66" s="44"/>
      <c r="T66" s="44"/>
      <c r="U66" s="44"/>
      <c r="V66" s="44"/>
      <c r="W66" s="44"/>
      <c r="X66" s="44"/>
      <c r="Y66" s="44"/>
      <c r="Z66" s="44"/>
    </row>
    <row r="67" spans="1:26" ht="15" customHeight="1" x14ac:dyDescent="0.3">
      <c r="A67" s="44"/>
      <c r="B67" s="52" t="s">
        <v>1682</v>
      </c>
      <c r="C67" s="53"/>
      <c r="D67" s="1724" t="s">
        <v>1739</v>
      </c>
      <c r="E67" s="1725"/>
      <c r="F67" s="44"/>
      <c r="G67" s="44" t="s">
        <v>294</v>
      </c>
      <c r="H67" s="44"/>
      <c r="I67" s="44"/>
      <c r="J67" s="44"/>
      <c r="K67" s="44"/>
      <c r="L67" s="44"/>
      <c r="M67" s="44"/>
      <c r="N67" s="44"/>
      <c r="O67" s="44"/>
      <c r="P67" s="44"/>
      <c r="Q67" s="44"/>
      <c r="R67" s="44"/>
      <c r="S67" s="44"/>
      <c r="T67" s="44"/>
      <c r="U67" s="44"/>
      <c r="V67" s="44"/>
      <c r="W67" s="44"/>
      <c r="X67" s="44"/>
      <c r="Y67" s="44"/>
      <c r="Z67" s="44"/>
    </row>
    <row r="68" spans="1:26" ht="15" customHeight="1" x14ac:dyDescent="0.3">
      <c r="A68" s="44"/>
      <c r="B68" s="54" t="s">
        <v>1684</v>
      </c>
      <c r="C68" s="55"/>
      <c r="D68" s="1706" t="s">
        <v>1741</v>
      </c>
      <c r="E68" s="1707"/>
      <c r="F68" s="44"/>
      <c r="G68" s="44" t="s">
        <v>307</v>
      </c>
      <c r="H68" s="44"/>
      <c r="I68" s="44"/>
      <c r="J68" s="44"/>
      <c r="K68" s="44"/>
      <c r="L68" s="44"/>
      <c r="M68" s="44"/>
      <c r="N68" s="44"/>
      <c r="O68" s="44"/>
      <c r="P68" s="44"/>
      <c r="Q68" s="44"/>
      <c r="R68" s="44"/>
      <c r="S68" s="44"/>
      <c r="T68" s="44"/>
      <c r="U68" s="44"/>
      <c r="V68" s="44"/>
      <c r="W68" s="44"/>
      <c r="X68" s="44"/>
      <c r="Y68" s="44"/>
      <c r="Z68" s="44"/>
    </row>
    <row r="69" spans="1:26" ht="15" customHeight="1" x14ac:dyDescent="0.3">
      <c r="A69" s="44"/>
      <c r="B69" s="56" t="s">
        <v>1686</v>
      </c>
      <c r="C69" s="57"/>
      <c r="D69" s="1754" t="s">
        <v>1737</v>
      </c>
      <c r="E69" s="1755"/>
      <c r="F69" s="44"/>
      <c r="G69" s="44" t="s">
        <v>249</v>
      </c>
      <c r="H69" s="44"/>
      <c r="I69" s="44"/>
      <c r="J69" s="44"/>
      <c r="K69" s="44"/>
      <c r="L69" s="44"/>
      <c r="M69" s="44"/>
      <c r="N69" s="44"/>
      <c r="O69" s="44"/>
      <c r="P69" s="44"/>
      <c r="Q69" s="44"/>
      <c r="R69" s="44"/>
      <c r="S69" s="44"/>
      <c r="T69" s="44"/>
      <c r="U69" s="44"/>
      <c r="V69" s="44"/>
      <c r="W69" s="44"/>
      <c r="X69" s="44"/>
      <c r="Y69" s="44"/>
      <c r="Z69" s="44"/>
    </row>
    <row r="70" spans="1:26" ht="25.5" customHeight="1" x14ac:dyDescent="0.3">
      <c r="A70" s="44"/>
      <c r="B70" s="58" t="s">
        <v>1743</v>
      </c>
      <c r="C70" s="1722" t="s">
        <v>1892</v>
      </c>
      <c r="D70" s="1722"/>
      <c r="E70" s="1723"/>
      <c r="F70" s="44"/>
      <c r="G70" s="44" t="s">
        <v>296</v>
      </c>
      <c r="H70" s="44"/>
      <c r="I70" s="44"/>
      <c r="J70" s="44"/>
      <c r="K70" s="44"/>
      <c r="L70" s="44"/>
      <c r="M70" s="44"/>
      <c r="N70" s="44"/>
      <c r="O70" s="44"/>
      <c r="P70" s="44"/>
      <c r="Q70" s="44"/>
      <c r="R70" s="44"/>
      <c r="S70" s="44"/>
      <c r="T70" s="44"/>
      <c r="U70" s="44"/>
      <c r="V70" s="44"/>
      <c r="W70" s="44"/>
      <c r="X70" s="44"/>
      <c r="Y70" s="44"/>
      <c r="Z70" s="44"/>
    </row>
    <row r="71" spans="1:26" ht="15" customHeight="1" x14ac:dyDescent="0.3">
      <c r="A71" s="44"/>
      <c r="B71" s="52" t="s">
        <v>1682</v>
      </c>
      <c r="C71" s="53"/>
      <c r="D71" s="1724" t="s">
        <v>1744</v>
      </c>
      <c r="E71" s="1725"/>
      <c r="F71" s="44"/>
      <c r="G71" s="44" t="s">
        <v>320</v>
      </c>
      <c r="H71" s="44"/>
      <c r="I71" s="44"/>
      <c r="J71" s="44"/>
      <c r="K71" s="44"/>
      <c r="L71" s="44"/>
      <c r="M71" s="44"/>
      <c r="N71" s="44"/>
      <c r="O71" s="44"/>
      <c r="P71" s="44"/>
      <c r="Q71" s="44"/>
      <c r="R71" s="44"/>
      <c r="S71" s="44"/>
      <c r="T71" s="44"/>
      <c r="U71" s="44"/>
      <c r="V71" s="44"/>
      <c r="W71" s="44"/>
      <c r="X71" s="44"/>
      <c r="Y71" s="44"/>
      <c r="Z71" s="44"/>
    </row>
    <row r="72" spans="1:26" ht="15" customHeight="1" x14ac:dyDescent="0.3">
      <c r="A72" s="44"/>
      <c r="B72" s="54" t="s">
        <v>1684</v>
      </c>
      <c r="C72" s="55"/>
      <c r="D72" s="1706" t="s">
        <v>1745</v>
      </c>
      <c r="E72" s="1707"/>
      <c r="F72" s="44"/>
      <c r="G72" s="44" t="s">
        <v>312</v>
      </c>
      <c r="H72" s="44"/>
      <c r="I72" s="44"/>
      <c r="J72" s="44"/>
      <c r="K72" s="44"/>
      <c r="L72" s="44"/>
      <c r="M72" s="44"/>
      <c r="N72" s="44"/>
      <c r="O72" s="44"/>
      <c r="P72" s="44"/>
      <c r="Q72" s="44"/>
      <c r="R72" s="44"/>
      <c r="S72" s="44"/>
      <c r="T72" s="44"/>
      <c r="U72" s="44"/>
      <c r="V72" s="44"/>
      <c r="W72" s="44"/>
      <c r="X72" s="44"/>
      <c r="Y72" s="44"/>
      <c r="Z72" s="44"/>
    </row>
    <row r="73" spans="1:26" ht="15" customHeight="1" x14ac:dyDescent="0.3">
      <c r="A73" s="44"/>
      <c r="B73" s="54" t="s">
        <v>1686</v>
      </c>
      <c r="C73" s="55"/>
      <c r="D73" s="1706" t="s">
        <v>1746</v>
      </c>
      <c r="E73" s="1707"/>
      <c r="F73" s="44"/>
      <c r="G73" s="44" t="s">
        <v>314</v>
      </c>
      <c r="H73" s="44"/>
      <c r="I73" s="44"/>
      <c r="J73" s="44"/>
      <c r="K73" s="44"/>
      <c r="L73" s="44"/>
      <c r="M73" s="44"/>
      <c r="N73" s="44"/>
      <c r="O73" s="44"/>
      <c r="P73" s="44"/>
      <c r="Q73" s="44"/>
      <c r="R73" s="44"/>
      <c r="S73" s="44"/>
      <c r="T73" s="44"/>
      <c r="U73" s="44"/>
      <c r="V73" s="44"/>
      <c r="W73" s="44"/>
      <c r="X73" s="44"/>
      <c r="Y73" s="44"/>
      <c r="Z73" s="44"/>
    </row>
    <row r="74" spans="1:26" ht="15" customHeight="1" x14ac:dyDescent="0.3">
      <c r="A74" s="44"/>
      <c r="B74" s="56" t="s">
        <v>1688</v>
      </c>
      <c r="C74" s="57"/>
      <c r="D74" s="1754" t="s">
        <v>1737</v>
      </c>
      <c r="E74" s="1755"/>
      <c r="F74" s="44"/>
      <c r="G74" s="44" t="s">
        <v>326</v>
      </c>
      <c r="H74" s="44"/>
      <c r="I74" s="44"/>
      <c r="J74" s="44"/>
      <c r="K74" s="44"/>
      <c r="L74" s="44"/>
      <c r="M74" s="44"/>
      <c r="N74" s="44"/>
      <c r="O74" s="44"/>
      <c r="P74" s="44"/>
      <c r="Q74" s="44"/>
      <c r="R74" s="44"/>
      <c r="S74" s="44"/>
      <c r="T74" s="44"/>
      <c r="U74" s="44"/>
      <c r="V74" s="44"/>
      <c r="W74" s="44"/>
      <c r="X74" s="44"/>
      <c r="Y74" s="44"/>
      <c r="Z74" s="44"/>
    </row>
    <row r="75" spans="1:26" ht="26.25" customHeight="1" x14ac:dyDescent="0.3">
      <c r="A75" s="44"/>
      <c r="B75" s="58" t="s">
        <v>1747</v>
      </c>
      <c r="C75" s="1722" t="s">
        <v>1893</v>
      </c>
      <c r="D75" s="1722"/>
      <c r="E75" s="1723"/>
      <c r="F75" s="44"/>
      <c r="G75" s="44" t="s">
        <v>392</v>
      </c>
      <c r="H75" s="44"/>
      <c r="I75" s="44"/>
      <c r="J75" s="44"/>
      <c r="K75" s="44"/>
      <c r="L75" s="44"/>
      <c r="M75" s="44"/>
      <c r="N75" s="44"/>
      <c r="O75" s="44"/>
      <c r="P75" s="44"/>
      <c r="Q75" s="44"/>
      <c r="R75" s="44"/>
      <c r="S75" s="44"/>
      <c r="T75" s="44"/>
      <c r="U75" s="44"/>
      <c r="V75" s="44"/>
      <c r="W75" s="44"/>
      <c r="X75" s="44"/>
      <c r="Y75" s="44"/>
      <c r="Z75" s="44"/>
    </row>
    <row r="76" spans="1:26" ht="45" customHeight="1" x14ac:dyDescent="0.3">
      <c r="A76" s="44"/>
      <c r="B76" s="1756"/>
      <c r="C76" s="1757"/>
      <c r="D76" s="1757"/>
      <c r="E76" s="1758"/>
      <c r="F76" s="44"/>
      <c r="G76" s="44" t="s">
        <v>55</v>
      </c>
      <c r="H76" s="44"/>
      <c r="I76" s="44"/>
      <c r="J76" s="44"/>
      <c r="K76" s="44"/>
      <c r="L76" s="44"/>
      <c r="M76" s="44"/>
      <c r="N76" s="44"/>
      <c r="O76" s="44"/>
      <c r="P76" s="44"/>
      <c r="Q76" s="44"/>
      <c r="R76" s="44"/>
      <c r="S76" s="44"/>
      <c r="T76" s="44"/>
      <c r="U76" s="44"/>
      <c r="V76" s="44"/>
      <c r="W76" s="44"/>
      <c r="X76" s="44"/>
      <c r="Y76" s="44"/>
      <c r="Z76" s="44"/>
    </row>
    <row r="77" spans="1:26" x14ac:dyDescent="0.3">
      <c r="A77" s="44"/>
      <c r="B77" s="61"/>
      <c r="C77" s="61"/>
      <c r="D77" s="61"/>
      <c r="E77" s="61"/>
      <c r="F77" s="44"/>
      <c r="G77" s="44" t="s">
        <v>389</v>
      </c>
      <c r="H77" s="44"/>
      <c r="I77" s="44"/>
      <c r="J77" s="44"/>
      <c r="K77" s="44"/>
      <c r="L77" s="44"/>
      <c r="M77" s="44"/>
      <c r="N77" s="44"/>
      <c r="O77" s="44"/>
      <c r="P77" s="44"/>
      <c r="Q77" s="44"/>
      <c r="R77" s="44"/>
      <c r="S77" s="44"/>
      <c r="T77" s="44"/>
      <c r="U77" s="44"/>
      <c r="V77" s="44"/>
      <c r="W77" s="44"/>
      <c r="X77" s="44"/>
      <c r="Y77" s="44"/>
      <c r="Z77" s="44"/>
    </row>
    <row r="78" spans="1:26" ht="18.75" customHeight="1" x14ac:dyDescent="0.3">
      <c r="A78" s="44"/>
      <c r="B78" s="1759" t="s">
        <v>1896</v>
      </c>
      <c r="C78" s="1759"/>
      <c r="D78" s="1759"/>
      <c r="E78" s="1759"/>
      <c r="F78" s="44"/>
      <c r="G78" s="44" t="s">
        <v>396</v>
      </c>
      <c r="H78" s="44"/>
      <c r="I78" s="44"/>
      <c r="J78" s="44"/>
      <c r="K78" s="44"/>
      <c r="L78" s="44"/>
      <c r="M78" s="44"/>
      <c r="N78" s="44"/>
      <c r="O78" s="44"/>
      <c r="P78" s="44"/>
      <c r="Q78" s="44"/>
      <c r="R78" s="44"/>
      <c r="S78" s="44"/>
      <c r="T78" s="44"/>
      <c r="U78" s="44"/>
      <c r="V78" s="44"/>
      <c r="W78" s="44"/>
      <c r="X78" s="44"/>
      <c r="Y78" s="44"/>
      <c r="Z78" s="44"/>
    </row>
    <row r="79" spans="1:26" x14ac:dyDescent="0.3">
      <c r="A79" s="44"/>
      <c r="B79" s="44"/>
      <c r="C79" s="44"/>
      <c r="D79" s="44"/>
      <c r="E79" s="44"/>
      <c r="F79" s="44"/>
      <c r="G79" s="44" t="s">
        <v>625</v>
      </c>
      <c r="H79" s="44"/>
      <c r="I79" s="44"/>
      <c r="J79" s="44"/>
      <c r="K79" s="44"/>
      <c r="L79" s="44"/>
      <c r="M79" s="44"/>
      <c r="N79" s="44"/>
      <c r="O79" s="44"/>
      <c r="P79" s="44"/>
      <c r="Q79" s="44"/>
      <c r="R79" s="44"/>
      <c r="S79" s="44"/>
      <c r="T79" s="44"/>
      <c r="U79" s="44"/>
      <c r="V79" s="44"/>
      <c r="W79" s="44"/>
      <c r="X79" s="44"/>
      <c r="Y79" s="44"/>
      <c r="Z79" s="44"/>
    </row>
    <row r="80" spans="1:26" x14ac:dyDescent="0.3">
      <c r="A80" s="44"/>
      <c r="B80" s="44"/>
      <c r="C80" s="44"/>
      <c r="D80" s="44"/>
      <c r="E80" s="44"/>
      <c r="F80" s="44"/>
      <c r="G80" s="44" t="s">
        <v>406</v>
      </c>
      <c r="H80" s="44"/>
      <c r="I80" s="44"/>
      <c r="J80" s="44"/>
      <c r="K80" s="44"/>
      <c r="L80" s="44"/>
      <c r="M80" s="44"/>
      <c r="N80" s="44"/>
      <c r="O80" s="44"/>
      <c r="P80" s="44"/>
      <c r="Q80" s="44"/>
      <c r="R80" s="44"/>
      <c r="S80" s="44"/>
      <c r="T80" s="44"/>
      <c r="U80" s="44"/>
      <c r="V80" s="44"/>
      <c r="W80" s="44"/>
      <c r="X80" s="44"/>
      <c r="Y80" s="44"/>
      <c r="Z80" s="44"/>
    </row>
    <row r="81" spans="1:26" x14ac:dyDescent="0.3">
      <c r="A81" s="44"/>
      <c r="B81" s="44"/>
      <c r="C81" s="44"/>
      <c r="D81" s="44"/>
      <c r="E81" s="44"/>
      <c r="F81" s="44"/>
      <c r="G81" s="44" t="s">
        <v>121</v>
      </c>
      <c r="H81" s="44"/>
      <c r="I81" s="44"/>
      <c r="J81" s="44"/>
      <c r="K81" s="44"/>
      <c r="L81" s="44"/>
      <c r="M81" s="44"/>
      <c r="N81" s="44"/>
      <c r="O81" s="44"/>
      <c r="P81" s="44"/>
      <c r="Q81" s="44"/>
      <c r="R81" s="44"/>
      <c r="S81" s="44"/>
      <c r="T81" s="44"/>
      <c r="U81" s="44"/>
      <c r="V81" s="44"/>
      <c r="W81" s="44"/>
      <c r="X81" s="44"/>
      <c r="Y81" s="44"/>
      <c r="Z81" s="44"/>
    </row>
    <row r="82" spans="1:26" x14ac:dyDescent="0.3">
      <c r="A82" s="44"/>
      <c r="B82" s="44"/>
      <c r="C82" s="44"/>
      <c r="D82" s="44"/>
      <c r="E82" s="44"/>
      <c r="F82" s="44"/>
      <c r="G82" s="44" t="s">
        <v>1748</v>
      </c>
      <c r="H82" s="44"/>
      <c r="I82" s="44"/>
      <c r="J82" s="44"/>
      <c r="K82" s="44"/>
      <c r="L82" s="44"/>
      <c r="M82" s="44"/>
      <c r="N82" s="44"/>
      <c r="O82" s="44"/>
      <c r="P82" s="44"/>
      <c r="Q82" s="44"/>
      <c r="R82" s="44"/>
      <c r="S82" s="44"/>
      <c r="T82" s="44"/>
      <c r="U82" s="44"/>
      <c r="V82" s="44"/>
      <c r="W82" s="44"/>
      <c r="X82" s="44"/>
      <c r="Y82" s="44"/>
      <c r="Z82" s="44"/>
    </row>
    <row r="83" spans="1:26" x14ac:dyDescent="0.3">
      <c r="A83" s="44"/>
      <c r="B83" s="44"/>
      <c r="C83" s="44"/>
      <c r="D83" s="44"/>
      <c r="E83" s="44"/>
      <c r="F83" s="44"/>
      <c r="G83" s="44" t="s">
        <v>53</v>
      </c>
      <c r="H83" s="44"/>
      <c r="I83" s="44"/>
      <c r="J83" s="44"/>
      <c r="K83" s="44"/>
      <c r="L83" s="44"/>
      <c r="M83" s="44"/>
      <c r="N83" s="44"/>
      <c r="O83" s="44"/>
      <c r="P83" s="44"/>
      <c r="Q83" s="44"/>
      <c r="R83" s="44"/>
      <c r="S83" s="44"/>
      <c r="T83" s="44"/>
      <c r="U83" s="44"/>
      <c r="V83" s="44"/>
      <c r="W83" s="44"/>
      <c r="X83" s="44"/>
      <c r="Y83" s="44"/>
      <c r="Z83" s="44"/>
    </row>
    <row r="84" spans="1:26" x14ac:dyDescent="0.3">
      <c r="A84" s="44"/>
      <c r="B84" s="44"/>
      <c r="C84" s="44"/>
      <c r="D84" s="44"/>
      <c r="E84" s="44"/>
      <c r="F84" s="44"/>
      <c r="G84" s="44" t="s">
        <v>627</v>
      </c>
      <c r="H84" s="44"/>
      <c r="I84" s="44"/>
      <c r="J84" s="44"/>
      <c r="K84" s="44"/>
      <c r="L84" s="44"/>
      <c r="M84" s="44"/>
      <c r="N84" s="44"/>
      <c r="O84" s="44"/>
      <c r="P84" s="44"/>
      <c r="Q84" s="44"/>
      <c r="R84" s="44"/>
      <c r="S84" s="44"/>
      <c r="T84" s="44"/>
      <c r="U84" s="44"/>
      <c r="V84" s="44"/>
      <c r="W84" s="44"/>
      <c r="X84" s="44"/>
      <c r="Y84" s="44"/>
      <c r="Z84" s="44"/>
    </row>
    <row r="85" spans="1:26" x14ac:dyDescent="0.3">
      <c r="A85" s="44"/>
      <c r="B85" s="44"/>
      <c r="C85" s="44"/>
      <c r="D85" s="44"/>
      <c r="E85" s="44"/>
      <c r="F85" s="44"/>
      <c r="G85" s="44" t="s">
        <v>1749</v>
      </c>
      <c r="H85" s="44"/>
      <c r="I85" s="44"/>
      <c r="J85" s="44"/>
      <c r="K85" s="44"/>
      <c r="L85" s="44"/>
      <c r="M85" s="44"/>
      <c r="N85" s="44"/>
      <c r="O85" s="44"/>
      <c r="P85" s="44"/>
      <c r="Q85" s="44"/>
      <c r="R85" s="44"/>
      <c r="S85" s="44"/>
      <c r="T85" s="44"/>
      <c r="U85" s="44"/>
      <c r="V85" s="44"/>
      <c r="W85" s="44"/>
      <c r="X85" s="44"/>
      <c r="Y85" s="44"/>
      <c r="Z85" s="44"/>
    </row>
    <row r="86" spans="1:26" x14ac:dyDescent="0.3">
      <c r="A86" s="44"/>
      <c r="B86" s="44"/>
      <c r="C86" s="44"/>
      <c r="D86" s="44"/>
      <c r="E86" s="44"/>
      <c r="F86" s="44"/>
      <c r="G86" s="44" t="s">
        <v>58</v>
      </c>
      <c r="H86" s="44"/>
      <c r="I86" s="44"/>
      <c r="J86" s="44"/>
      <c r="K86" s="44"/>
      <c r="L86" s="44"/>
      <c r="M86" s="44"/>
      <c r="N86" s="44"/>
      <c r="O86" s="44"/>
      <c r="P86" s="44"/>
      <c r="Q86" s="44"/>
      <c r="R86" s="44"/>
      <c r="S86" s="44"/>
      <c r="T86" s="44"/>
      <c r="U86" s="44"/>
      <c r="V86" s="44"/>
      <c r="W86" s="44"/>
      <c r="X86" s="44"/>
      <c r="Y86" s="44"/>
      <c r="Z86" s="44"/>
    </row>
    <row r="87" spans="1:26" x14ac:dyDescent="0.3">
      <c r="A87" s="44"/>
      <c r="B87" s="44"/>
      <c r="C87" s="44"/>
      <c r="D87" s="44"/>
      <c r="E87" s="44"/>
      <c r="F87" s="44"/>
      <c r="G87" s="44" t="s">
        <v>629</v>
      </c>
      <c r="H87" s="44"/>
      <c r="I87" s="44"/>
      <c r="J87" s="44"/>
      <c r="K87" s="44"/>
      <c r="L87" s="44"/>
      <c r="M87" s="44"/>
      <c r="N87" s="44"/>
      <c r="O87" s="44"/>
      <c r="P87" s="44"/>
      <c r="Q87" s="44"/>
      <c r="R87" s="44"/>
      <c r="S87" s="44"/>
      <c r="T87" s="44"/>
      <c r="U87" s="44"/>
      <c r="V87" s="44"/>
      <c r="W87" s="44"/>
      <c r="X87" s="44"/>
      <c r="Y87" s="44"/>
      <c r="Z87" s="44"/>
    </row>
    <row r="88" spans="1:26" x14ac:dyDescent="0.3">
      <c r="G88" s="66" t="s">
        <v>427</v>
      </c>
    </row>
  </sheetData>
  <sheetProtection algorithmName="SHA-512" hashValue="jeiFG8UYeB2ATnoU/z4V8VzrKPLxcAbrkYcQr7Yngm5zYs++wEtEiWbEWnwSyedCwDGjfpDkLOWG1QmahzOxRg==" saltValue="Wafosr13ZZ3uNTkhAqeilg==" spinCount="100000" sheet="1" objects="1" scenarios="1" selectLockedCells="1"/>
  <sortState ref="G5:G89">
    <sortCondition ref="G5"/>
  </sortState>
  <mergeCells count="88">
    <mergeCell ref="B76:E76"/>
    <mergeCell ref="B78:E78"/>
    <mergeCell ref="C70:E70"/>
    <mergeCell ref="D71:E71"/>
    <mergeCell ref="D72:E72"/>
    <mergeCell ref="D73:E73"/>
    <mergeCell ref="D74:E74"/>
    <mergeCell ref="C75:E75"/>
    <mergeCell ref="D51:E51"/>
    <mergeCell ref="D43:E43"/>
    <mergeCell ref="B44:B45"/>
    <mergeCell ref="D69:E69"/>
    <mergeCell ref="C60:E60"/>
    <mergeCell ref="D61:E61"/>
    <mergeCell ref="B62:B63"/>
    <mergeCell ref="C62:C63"/>
    <mergeCell ref="D62:E62"/>
    <mergeCell ref="D63:E63"/>
    <mergeCell ref="D64:E64"/>
    <mergeCell ref="D65:E65"/>
    <mergeCell ref="C66:E66"/>
    <mergeCell ref="D67:E67"/>
    <mergeCell ref="D68:E68"/>
    <mergeCell ref="D59:E59"/>
    <mergeCell ref="B52:B53"/>
    <mergeCell ref="C52:C53"/>
    <mergeCell ref="D52:E52"/>
    <mergeCell ref="D53:E53"/>
    <mergeCell ref="C54:E54"/>
    <mergeCell ref="D55:E55"/>
    <mergeCell ref="B56:B57"/>
    <mergeCell ref="C56:C57"/>
    <mergeCell ref="D56:E56"/>
    <mergeCell ref="D57:E57"/>
    <mergeCell ref="D58:E58"/>
    <mergeCell ref="C44:C45"/>
    <mergeCell ref="D44:E44"/>
    <mergeCell ref="D45:E45"/>
    <mergeCell ref="C46:E46"/>
    <mergeCell ref="D47:E47"/>
    <mergeCell ref="D48:E48"/>
    <mergeCell ref="D49:E49"/>
    <mergeCell ref="D50:E50"/>
    <mergeCell ref="D35:E35"/>
    <mergeCell ref="D36:E36"/>
    <mergeCell ref="D37:E37"/>
    <mergeCell ref="D42:E42"/>
    <mergeCell ref="D29:E29"/>
    <mergeCell ref="D30:E30"/>
    <mergeCell ref="D31:E31"/>
    <mergeCell ref="B40:B41"/>
    <mergeCell ref="C40:C41"/>
    <mergeCell ref="D40:E40"/>
    <mergeCell ref="D41:E41"/>
    <mergeCell ref="C38:E38"/>
    <mergeCell ref="D39:E39"/>
    <mergeCell ref="B11:D11"/>
    <mergeCell ref="C33:E33"/>
    <mergeCell ref="D34:E34"/>
    <mergeCell ref="B19:B20"/>
    <mergeCell ref="C19:C20"/>
    <mergeCell ref="D19:E19"/>
    <mergeCell ref="D20:E20"/>
    <mergeCell ref="D32:E32"/>
    <mergeCell ref="C21:E21"/>
    <mergeCell ref="D22:E22"/>
    <mergeCell ref="D23:E23"/>
    <mergeCell ref="D24:E24"/>
    <mergeCell ref="D25:E25"/>
    <mergeCell ref="D26:E26"/>
    <mergeCell ref="D27:E27"/>
    <mergeCell ref="C28:E28"/>
    <mergeCell ref="D18:E18"/>
    <mergeCell ref="B6:D6"/>
    <mergeCell ref="B1:D1"/>
    <mergeCell ref="B2:E2"/>
    <mergeCell ref="B3:E3"/>
    <mergeCell ref="B4:E4"/>
    <mergeCell ref="B5:D5"/>
    <mergeCell ref="B12:D13"/>
    <mergeCell ref="B14:E14"/>
    <mergeCell ref="C15:E15"/>
    <mergeCell ref="D16:E16"/>
    <mergeCell ref="D17:E17"/>
    <mergeCell ref="B7:D7"/>
    <mergeCell ref="B8:D8"/>
    <mergeCell ref="B9:D9"/>
    <mergeCell ref="B10:D10"/>
  </mergeCells>
  <conditionalFormatting sqref="B28:C28">
    <cfRule type="expression" dxfId="46" priority="18" stopIfTrue="1">
      <formula>IF(COUNTA($C29:$C32)=0,1-1,IF(COUNTA($C29:$C32)=1,1+0,1+1))=1</formula>
    </cfRule>
  </conditionalFormatting>
  <conditionalFormatting sqref="B33:C33">
    <cfRule type="expression" dxfId="45" priority="17" stopIfTrue="1">
      <formula>IF(COUNTA($C34:$C37)=0,1-1,IF(COUNTA($C34:$C37)=1,1+0,1+1))=1</formula>
    </cfRule>
  </conditionalFormatting>
  <conditionalFormatting sqref="B38:C38 B46:C46">
    <cfRule type="expression" dxfId="44" priority="16" stopIfTrue="1">
      <formula>IF(COUNTA($C39:$C45)=0,1-1,IF(COUNTA($C39:$C45)=1,1+0,1+1))=1</formula>
    </cfRule>
  </conditionalFormatting>
  <conditionalFormatting sqref="B5">
    <cfRule type="expression" dxfId="43" priority="15" stopIfTrue="1">
      <formula>IF(ISERROR(MATCH(E5,Анкета_Субъекты_РФ,0)),0,1)=1</formula>
    </cfRule>
  </conditionalFormatting>
  <conditionalFormatting sqref="B15:C15">
    <cfRule type="expression" dxfId="42" priority="14" stopIfTrue="1">
      <formula>IF(COUNTA($C16:$C20)=0,1-1,IF(COUNTA($C16:$C20)=1,1+0,1+1))=1</formula>
    </cfRule>
  </conditionalFormatting>
  <conditionalFormatting sqref="B21:C21">
    <cfRule type="expression" dxfId="41" priority="13" stopIfTrue="1">
      <formula>IF(COUNTA($C22:$C27)=0,1-1,IF(COUNTA($C22:$C27)=1,1+0,1+1))=1</formula>
    </cfRule>
  </conditionalFormatting>
  <conditionalFormatting sqref="B54:C54">
    <cfRule type="expression" dxfId="40" priority="20" stopIfTrue="1">
      <formula>IF(COUNTA($C55:$C59)=0,1-1,IF(COUNTA($C55:$C59)=1,1+0,1+1))=1</formula>
    </cfRule>
  </conditionalFormatting>
  <conditionalFormatting sqref="B60:C60">
    <cfRule type="expression" dxfId="39" priority="21" stopIfTrue="1">
      <formula>IF(COUNTA($C61:$C65)=0,1-1,IF(COUNTA($C61:$C65)=1,1+0,1+1))=1</formula>
    </cfRule>
  </conditionalFormatting>
  <conditionalFormatting sqref="B70:C70 B66:C66">
    <cfRule type="expression" dxfId="38" priority="22" stopIfTrue="1">
      <formula>IF(COUNTA($C67:$C69)=0,1-1,IF(COUNTA($C67:$C69)=1,1+0,1+1))=1</formula>
    </cfRule>
  </conditionalFormatting>
  <conditionalFormatting sqref="B75:C75">
    <cfRule type="expression" dxfId="37" priority="23" stopIfTrue="1">
      <formula>IF(LEN($B76)&lt;5,0,1)=1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1 WLQ983051 WBU983051 VRY983051 VIC983051 UYG983051 UOK983051 UEO983051 TUS983051 TKW983051 TBA983051 SRE983051 SHI983051 RXM983051 RNQ983051 RDU983051 QTY983051 QKC983051 QAG983051 PQK983051 PGO983051 OWS983051 OMW983051 ODA983051 NTE983051 NJI983051 MZM983051 MPQ983051 MFU983051 LVY983051 LMC983051 LCG983051 KSK983051 KIO983051 JYS983051 JOW983051 JFA983051 IVE983051 ILI983051 IBM983051 HRQ983051 HHU983051 GXY983051 GOC983051 GEG983051 FUK983051 FKO983051 FAS983051 EQW983051 EHA983051 DXE983051 DNI983051 DDM983051 CTQ983051 CJU983051 BZY983051 BQC983051 BGG983051 AWK983051 AMO983051 ACS983051 SW983051 JA983051 E983051 WVM917515 WLQ917515 WBU917515 VRY917515 VIC917515 UYG917515 UOK917515 UEO917515 TUS917515 TKW917515 TBA917515 SRE917515 SHI917515 RXM917515 RNQ917515 RDU917515 QTY917515 QKC917515 QAG917515 PQK917515 PGO917515 OWS917515 OMW917515 ODA917515 NTE917515 NJI917515 MZM917515 MPQ917515 MFU917515 LVY917515 LMC917515 LCG917515 KSK917515 KIO917515 JYS917515 JOW917515 JFA917515 IVE917515 ILI917515 IBM917515 HRQ917515 HHU917515 GXY917515 GOC917515 GEG917515 FUK917515 FKO917515 FAS917515 EQW917515 EHA917515 DXE917515 DNI917515 DDM917515 CTQ917515 CJU917515 BZY917515 BQC917515 BGG917515 AWK917515 AMO917515 ACS917515 SW917515 JA917515 E917515 WVM851979 WLQ851979 WBU851979 VRY851979 VIC851979 UYG851979 UOK851979 UEO851979 TUS851979 TKW851979 TBA851979 SRE851979 SHI851979 RXM851979 RNQ851979 RDU851979 QTY851979 QKC851979 QAG851979 PQK851979 PGO851979 OWS851979 OMW851979 ODA851979 NTE851979 NJI851979 MZM851979 MPQ851979 MFU851979 LVY851979 LMC851979 LCG851979 KSK851979 KIO851979 JYS851979 JOW851979 JFA851979 IVE851979 ILI851979 IBM851979 HRQ851979 HHU851979 GXY851979 GOC851979 GEG851979 FUK851979 FKO851979 FAS851979 EQW851979 EHA851979 DXE851979 DNI851979 DDM851979 CTQ851979 CJU851979 BZY851979 BQC851979 BGG851979 AWK851979 AMO851979 ACS851979 SW851979 JA851979 E851979 WVM786443 WLQ786443 WBU786443 VRY786443 VIC786443 UYG786443 UOK786443 UEO786443 TUS786443 TKW786443 TBA786443 SRE786443 SHI786443 RXM786443 RNQ786443 RDU786443 QTY786443 QKC786443 QAG786443 PQK786443 PGO786443 OWS786443 OMW786443 ODA786443 NTE786443 NJI786443 MZM786443 MPQ786443 MFU786443 LVY786443 LMC786443 LCG786443 KSK786443 KIO786443 JYS786443 JOW786443 JFA786443 IVE786443 ILI786443 IBM786443 HRQ786443 HHU786443 GXY786443 GOC786443 GEG786443 FUK786443 FKO786443 FAS786443 EQW786443 EHA786443 DXE786443 DNI786443 DDM786443 CTQ786443 CJU786443 BZY786443 BQC786443 BGG786443 AWK786443 AMO786443 ACS786443 SW786443 JA786443 E786443 WVM720907 WLQ720907 WBU720907 VRY720907 VIC720907 UYG720907 UOK720907 UEO720907 TUS720907 TKW720907 TBA720907 SRE720907 SHI720907 RXM720907 RNQ720907 RDU720907 QTY720907 QKC720907 QAG720907 PQK720907 PGO720907 OWS720907 OMW720907 ODA720907 NTE720907 NJI720907 MZM720907 MPQ720907 MFU720907 LVY720907 LMC720907 LCG720907 KSK720907 KIO720907 JYS720907 JOW720907 JFA720907 IVE720907 ILI720907 IBM720907 HRQ720907 HHU720907 GXY720907 GOC720907 GEG720907 FUK720907 FKO720907 FAS720907 EQW720907 EHA720907 DXE720907 DNI720907 DDM720907 CTQ720907 CJU720907 BZY720907 BQC720907 BGG720907 AWK720907 AMO720907 ACS720907 SW720907 JA720907 E720907 WVM655371 WLQ655371 WBU655371 VRY655371 VIC655371 UYG655371 UOK655371 UEO655371 TUS655371 TKW655371 TBA655371 SRE655371 SHI655371 RXM655371 RNQ655371 RDU655371 QTY655371 QKC655371 QAG655371 PQK655371 PGO655371 OWS655371 OMW655371 ODA655371 NTE655371 NJI655371 MZM655371 MPQ655371 MFU655371 LVY655371 LMC655371 LCG655371 KSK655371 KIO655371 JYS655371 JOW655371 JFA655371 IVE655371 ILI655371 IBM655371 HRQ655371 HHU655371 GXY655371 GOC655371 GEG655371 FUK655371 FKO655371 FAS655371 EQW655371 EHA655371 DXE655371 DNI655371 DDM655371 CTQ655371 CJU655371 BZY655371 BQC655371 BGG655371 AWK655371 AMO655371 ACS655371 SW655371 JA655371 E655371 WVM589835 WLQ589835 WBU589835 VRY589835 VIC589835 UYG589835 UOK589835 UEO589835 TUS589835 TKW589835 TBA589835 SRE589835 SHI589835 RXM589835 RNQ589835 RDU589835 QTY589835 QKC589835 QAG589835 PQK589835 PGO589835 OWS589835 OMW589835 ODA589835 NTE589835 NJI589835 MZM589835 MPQ589835 MFU589835 LVY589835 LMC589835 LCG589835 KSK589835 KIO589835 JYS589835 JOW589835 JFA589835 IVE589835 ILI589835 IBM589835 HRQ589835 HHU589835 GXY589835 GOC589835 GEG589835 FUK589835 FKO589835 FAS589835 EQW589835 EHA589835 DXE589835 DNI589835 DDM589835 CTQ589835 CJU589835 BZY589835 BQC589835 BGG589835 AWK589835 AMO589835 ACS589835 SW589835 JA589835 E589835 WVM524299 WLQ524299 WBU524299 VRY524299 VIC524299 UYG524299 UOK524299 UEO524299 TUS524299 TKW524299 TBA524299 SRE524299 SHI524299 RXM524299 RNQ524299 RDU524299 QTY524299 QKC524299 QAG524299 PQK524299 PGO524299 OWS524299 OMW524299 ODA524299 NTE524299 NJI524299 MZM524299 MPQ524299 MFU524299 LVY524299 LMC524299 LCG524299 KSK524299 KIO524299 JYS524299 JOW524299 JFA524299 IVE524299 ILI524299 IBM524299 HRQ524299 HHU524299 GXY524299 GOC524299 GEG524299 FUK524299 FKO524299 FAS524299 EQW524299 EHA524299 DXE524299 DNI524299 DDM524299 CTQ524299 CJU524299 BZY524299 BQC524299 BGG524299 AWK524299 AMO524299 ACS524299 SW524299 JA524299 E524299 WVM458763 WLQ458763 WBU458763 VRY458763 VIC458763 UYG458763 UOK458763 UEO458763 TUS458763 TKW458763 TBA458763 SRE458763 SHI458763 RXM458763 RNQ458763 RDU458763 QTY458763 QKC458763 QAG458763 PQK458763 PGO458763 OWS458763 OMW458763 ODA458763 NTE458763 NJI458763 MZM458763 MPQ458763 MFU458763 LVY458763 LMC458763 LCG458763 KSK458763 KIO458763 JYS458763 JOW458763 JFA458763 IVE458763 ILI458763 IBM458763 HRQ458763 HHU458763 GXY458763 GOC458763 GEG458763 FUK458763 FKO458763 FAS458763 EQW458763 EHA458763 DXE458763 DNI458763 DDM458763 CTQ458763 CJU458763 BZY458763 BQC458763 BGG458763 AWK458763 AMO458763 ACS458763 SW458763 JA458763 E458763 WVM393227 WLQ393227 WBU393227 VRY393227 VIC393227 UYG393227 UOK393227 UEO393227 TUS393227 TKW393227 TBA393227 SRE393227 SHI393227 RXM393227 RNQ393227 RDU393227 QTY393227 QKC393227 QAG393227 PQK393227 PGO393227 OWS393227 OMW393227 ODA393227 NTE393227 NJI393227 MZM393227 MPQ393227 MFU393227 LVY393227 LMC393227 LCG393227 KSK393227 KIO393227 JYS393227 JOW393227 JFA393227 IVE393227 ILI393227 IBM393227 HRQ393227 HHU393227 GXY393227 GOC393227 GEG393227 FUK393227 FKO393227 FAS393227 EQW393227 EHA393227 DXE393227 DNI393227 DDM393227 CTQ393227 CJU393227 BZY393227 BQC393227 BGG393227 AWK393227 AMO393227 ACS393227 SW393227 JA393227 E393227 WVM327691 WLQ327691 WBU327691 VRY327691 VIC327691 UYG327691 UOK327691 UEO327691 TUS327691 TKW327691 TBA327691 SRE327691 SHI327691 RXM327691 RNQ327691 RDU327691 QTY327691 QKC327691 QAG327691 PQK327691 PGO327691 OWS327691 OMW327691 ODA327691 NTE327691 NJI327691 MZM327691 MPQ327691 MFU327691 LVY327691 LMC327691 LCG327691 KSK327691 KIO327691 JYS327691 JOW327691 JFA327691 IVE327691 ILI327691 IBM327691 HRQ327691 HHU327691 GXY327691 GOC327691 GEG327691 FUK327691 FKO327691 FAS327691 EQW327691 EHA327691 DXE327691 DNI327691 DDM327691 CTQ327691 CJU327691 BZY327691 BQC327691 BGG327691 AWK327691 AMO327691 ACS327691 SW327691 JA327691 E327691 WVM262155 WLQ262155 WBU262155 VRY262155 VIC262155 UYG262155 UOK262155 UEO262155 TUS262155 TKW262155 TBA262155 SRE262155 SHI262155 RXM262155 RNQ262155 RDU262155 QTY262155 QKC262155 QAG262155 PQK262155 PGO262155 OWS262155 OMW262155 ODA262155 NTE262155 NJI262155 MZM262155 MPQ262155 MFU262155 LVY262155 LMC262155 LCG262155 KSK262155 KIO262155 JYS262155 JOW262155 JFA262155 IVE262155 ILI262155 IBM262155 HRQ262155 HHU262155 GXY262155 GOC262155 GEG262155 FUK262155 FKO262155 FAS262155 EQW262155 EHA262155 DXE262155 DNI262155 DDM262155 CTQ262155 CJU262155 BZY262155 BQC262155 BGG262155 AWK262155 AMO262155 ACS262155 SW262155 JA262155 E262155 WVM196619 WLQ196619 WBU196619 VRY196619 VIC196619 UYG196619 UOK196619 UEO196619 TUS196619 TKW196619 TBA196619 SRE196619 SHI196619 RXM196619 RNQ196619 RDU196619 QTY196619 QKC196619 QAG196619 PQK196619 PGO196619 OWS196619 OMW196619 ODA196619 NTE196619 NJI196619 MZM196619 MPQ196619 MFU196619 LVY196619 LMC196619 LCG196619 KSK196619 KIO196619 JYS196619 JOW196619 JFA196619 IVE196619 ILI196619 IBM196619 HRQ196619 HHU196619 GXY196619 GOC196619 GEG196619 FUK196619 FKO196619 FAS196619 EQW196619 EHA196619 DXE196619 DNI196619 DDM196619 CTQ196619 CJU196619 BZY196619 BQC196619 BGG196619 AWK196619 AMO196619 ACS196619 SW196619 JA196619 E196619 WVM131083 WLQ131083 WBU131083 VRY131083 VIC131083 UYG131083 UOK131083 UEO131083 TUS131083 TKW131083 TBA131083 SRE131083 SHI131083 RXM131083 RNQ131083 RDU131083 QTY131083 QKC131083 QAG131083 PQK131083 PGO131083 OWS131083 OMW131083 ODA131083 NTE131083 NJI131083 MZM131083 MPQ131083 MFU131083 LVY131083 LMC131083 LCG131083 KSK131083 KIO131083 JYS131083 JOW131083 JFA131083 IVE131083 ILI131083 IBM131083 HRQ131083 HHU131083 GXY131083 GOC131083 GEG131083 FUK131083 FKO131083 FAS131083 EQW131083 EHA131083 DXE131083 DNI131083 DDM131083 CTQ131083 CJU131083 BZY131083 BQC131083 BGG131083 AWK131083 AMO131083 ACS131083 SW131083 JA131083 E131083 WVM65547 WLQ65547 WBU65547 VRY65547 VIC65547 UYG65547 UOK65547 UEO65547 TUS65547 TKW65547 TBA65547 SRE65547 SHI65547 RXM65547 RNQ65547 RDU65547 QTY65547 QKC65547 QAG65547 PQK65547 PGO65547 OWS65547 OMW65547 ODA65547 NTE65547 NJI65547 MZM65547 MPQ65547 MFU65547 LVY65547 LMC65547 LCG65547 KSK65547 KIO65547 JYS65547 JOW65547 JFA65547 IVE65547 ILI65547 IBM65547 HRQ65547 HHU65547 GXY65547 GOC65547 GEG65547 FUK65547 FKO65547 FAS65547 EQW65547 EHA65547 DXE65547 DNI65547 DDM65547 CTQ65547 CJU65547 BZY65547 BQC65547 BGG65547 AWK65547 AMO65547 ACS65547 SW65547 JA65547 E65547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65540 WVM983044 WLQ983044 WBU983044 VRY983044 VIC983044 UYG983044 UOK983044 UEO983044 TUS983044 TKW983044 TBA983044 SRE983044 SHI983044 RXM983044 RNQ983044 RDU983044 QTY983044 QKC983044 QAG983044 PQK983044 PGO983044 OWS983044 OMW983044 ODA983044 NTE983044 NJI983044 MZM983044 MPQ983044 MFU983044 LVY983044 LMC983044 LCG983044 KSK983044 KIO983044 JYS983044 JOW983044 JFA983044 IVE983044 ILI983044 IBM983044 HRQ983044 HHU983044 GXY983044 GOC983044 GEG983044 FUK983044 FKO983044 FAS983044 EQW983044 EHA983044 DXE983044 DNI983044 DDM983044 CTQ983044 CJU983044 BZY983044 BQC983044 BGG983044 AWK983044 AMO983044 ACS983044 SW983044 JA983044 E983044 WVM917508 WLQ917508 WBU917508 VRY917508 VIC917508 UYG917508 UOK917508 UEO917508 TUS917508 TKW917508 TBA917508 SRE917508 SHI917508 RXM917508 RNQ917508 RDU917508 QTY917508 QKC917508 QAG917508 PQK917508 PGO917508 OWS917508 OMW917508 ODA917508 NTE917508 NJI917508 MZM917508 MPQ917508 MFU917508 LVY917508 LMC917508 LCG917508 KSK917508 KIO917508 JYS917508 JOW917508 JFA917508 IVE917508 ILI917508 IBM917508 HRQ917508 HHU917508 GXY917508 GOC917508 GEG917508 FUK917508 FKO917508 FAS917508 EQW917508 EHA917508 DXE917508 DNI917508 DDM917508 CTQ917508 CJU917508 BZY917508 BQC917508 BGG917508 AWK917508 AMO917508 ACS917508 SW917508 JA917508 E917508 WVM851972 WLQ851972 WBU851972 VRY851972 VIC851972 UYG851972 UOK851972 UEO851972 TUS851972 TKW851972 TBA851972 SRE851972 SHI851972 RXM851972 RNQ851972 RDU851972 QTY851972 QKC851972 QAG851972 PQK851972 PGO851972 OWS851972 OMW851972 ODA851972 NTE851972 NJI851972 MZM851972 MPQ851972 MFU851972 LVY851972 LMC851972 LCG851972 KSK851972 KIO851972 JYS851972 JOW851972 JFA851972 IVE851972 ILI851972 IBM851972 HRQ851972 HHU851972 GXY851972 GOC851972 GEG851972 FUK851972 FKO851972 FAS851972 EQW851972 EHA851972 DXE851972 DNI851972 DDM851972 CTQ851972 CJU851972 BZY851972 BQC851972 BGG851972 AWK851972 AMO851972 ACS851972 SW851972 JA851972 E851972 WVM786436 WLQ786436 WBU786436 VRY786436 VIC786436 UYG786436 UOK786436 UEO786436 TUS786436 TKW786436 TBA786436 SRE786436 SHI786436 RXM786436 RNQ786436 RDU786436 QTY786436 QKC786436 QAG786436 PQK786436 PGO786436 OWS786436 OMW786436 ODA786436 NTE786436 NJI786436 MZM786436 MPQ786436 MFU786436 LVY786436 LMC786436 LCG786436 KSK786436 KIO786436 JYS786436 JOW786436 JFA786436 IVE786436 ILI786436 IBM786436 HRQ786436 HHU786436 GXY786436 GOC786436 GEG786436 FUK786436 FKO786436 FAS786436 EQW786436 EHA786436 DXE786436 DNI786436 DDM786436 CTQ786436 CJU786436 BZY786436 BQC786436 BGG786436 AWK786436 AMO786436 ACS786436 SW786436 JA786436 E786436 WVM720900 WLQ720900 WBU720900 VRY720900 VIC720900 UYG720900 UOK720900 UEO720900 TUS720900 TKW720900 TBA720900 SRE720900 SHI720900 RXM720900 RNQ720900 RDU720900 QTY720900 QKC720900 QAG720900 PQK720900 PGO720900 OWS720900 OMW720900 ODA720900 NTE720900 NJI720900 MZM720900 MPQ720900 MFU720900 LVY720900 LMC720900 LCG720900 KSK720900 KIO720900 JYS720900 JOW720900 JFA720900 IVE720900 ILI720900 IBM720900 HRQ720900 HHU720900 GXY720900 GOC720900 GEG720900 FUK720900 FKO720900 FAS720900 EQW720900 EHA720900 DXE720900 DNI720900 DDM720900 CTQ720900 CJU720900 BZY720900 BQC720900 BGG720900 AWK720900 AMO720900 ACS720900 SW720900 JA720900 E720900 WVM655364 WLQ655364 WBU655364 VRY655364 VIC655364 UYG655364 UOK655364 UEO655364 TUS655364 TKW655364 TBA655364 SRE655364 SHI655364 RXM655364 RNQ655364 RDU655364 QTY655364 QKC655364 QAG655364 PQK655364 PGO655364 OWS655364 OMW655364 ODA655364 NTE655364 NJI655364 MZM655364 MPQ655364 MFU655364 LVY655364 LMC655364 LCG655364 KSK655364 KIO655364 JYS655364 JOW655364 JFA655364 IVE655364 ILI655364 IBM655364 HRQ655364 HHU655364 GXY655364 GOC655364 GEG655364 FUK655364 FKO655364 FAS655364 EQW655364 EHA655364 DXE655364 DNI655364 DDM655364 CTQ655364 CJU655364 BZY655364 BQC655364 BGG655364 AWK655364 AMO655364 ACS655364 SW655364 JA655364 E655364 WVM589828 WLQ589828 WBU589828 VRY589828 VIC589828 UYG589828 UOK589828 UEO589828 TUS589828 TKW589828 TBA589828 SRE589828 SHI589828 RXM589828 RNQ589828 RDU589828 QTY589828 QKC589828 QAG589828 PQK589828 PGO589828 OWS589828 OMW589828 ODA589828 NTE589828 NJI589828 MZM589828 MPQ589828 MFU589828 LVY589828 LMC589828 LCG589828 KSK589828 KIO589828 JYS589828 JOW589828 JFA589828 IVE589828 ILI589828 IBM589828 HRQ589828 HHU589828 GXY589828 GOC589828 GEG589828 FUK589828 FKO589828 FAS589828 EQW589828 EHA589828 DXE589828 DNI589828 DDM589828 CTQ589828 CJU589828 BZY589828 BQC589828 BGG589828 AWK589828 AMO589828 ACS589828 SW589828 JA589828 E589828 WVM524292 WLQ524292 WBU524292 VRY524292 VIC524292 UYG524292 UOK524292 UEO524292 TUS524292 TKW524292 TBA524292 SRE524292 SHI524292 RXM524292 RNQ524292 RDU524292 QTY524292 QKC524292 QAG524292 PQK524292 PGO524292 OWS524292 OMW524292 ODA524292 NTE524292 NJI524292 MZM524292 MPQ524292 MFU524292 LVY524292 LMC524292 LCG524292 KSK524292 KIO524292 JYS524292 JOW524292 JFA524292 IVE524292 ILI524292 IBM524292 HRQ524292 HHU524292 GXY524292 GOC524292 GEG524292 FUK524292 FKO524292 FAS524292 EQW524292 EHA524292 DXE524292 DNI524292 DDM524292 CTQ524292 CJU524292 BZY524292 BQC524292 BGG524292 AWK524292 AMO524292 ACS524292 SW524292 JA524292 E524292 WVM458756 WLQ458756 WBU458756 VRY458756 VIC458756 UYG458756 UOK458756 UEO458756 TUS458756 TKW458756 TBA458756 SRE458756 SHI458756 RXM458756 RNQ458756 RDU458756 QTY458756 QKC458756 QAG458756 PQK458756 PGO458756 OWS458756 OMW458756 ODA458756 NTE458756 NJI458756 MZM458756 MPQ458756 MFU458756 LVY458756 LMC458756 LCG458756 KSK458756 KIO458756 JYS458756 JOW458756 JFA458756 IVE458756 ILI458756 IBM458756 HRQ458756 HHU458756 GXY458756 GOC458756 GEG458756 FUK458756 FKO458756 FAS458756 EQW458756 EHA458756 DXE458756 DNI458756 DDM458756 CTQ458756 CJU458756 BZY458756 BQC458756 BGG458756 AWK458756 AMO458756 ACS458756 SW458756 JA458756 E458756 WVM393220 WLQ393220 WBU393220 VRY393220 VIC393220 UYG393220 UOK393220 UEO393220 TUS393220 TKW393220 TBA393220 SRE393220 SHI393220 RXM393220 RNQ393220 RDU393220 QTY393220 QKC393220 QAG393220 PQK393220 PGO393220 OWS393220 OMW393220 ODA393220 NTE393220 NJI393220 MZM393220 MPQ393220 MFU393220 LVY393220 LMC393220 LCG393220 KSK393220 KIO393220 JYS393220 JOW393220 JFA393220 IVE393220 ILI393220 IBM393220 HRQ393220 HHU393220 GXY393220 GOC393220 GEG393220 FUK393220 FKO393220 FAS393220 EQW393220 EHA393220 DXE393220 DNI393220 DDM393220 CTQ393220 CJU393220 BZY393220 BQC393220 BGG393220 AWK393220 AMO393220 ACS393220 SW393220 JA393220 E393220 WVM327684 WLQ327684 WBU327684 VRY327684 VIC327684 UYG327684 UOK327684 UEO327684 TUS327684 TKW327684 TBA327684 SRE327684 SHI327684 RXM327684 RNQ327684 RDU327684 QTY327684 QKC327684 QAG327684 PQK327684 PGO327684 OWS327684 OMW327684 ODA327684 NTE327684 NJI327684 MZM327684 MPQ327684 MFU327684 LVY327684 LMC327684 LCG327684 KSK327684 KIO327684 JYS327684 JOW327684 JFA327684 IVE327684 ILI327684 IBM327684 HRQ327684 HHU327684 GXY327684 GOC327684 GEG327684 FUK327684 FKO327684 FAS327684 EQW327684 EHA327684 DXE327684 DNI327684 DDM327684 CTQ327684 CJU327684 BZY327684 BQC327684 BGG327684 AWK327684 AMO327684 ACS327684 SW327684 JA327684 E327684 WVM262148 WLQ262148 WBU262148 VRY262148 VIC262148 UYG262148 UOK262148 UEO262148 TUS262148 TKW262148 TBA262148 SRE262148 SHI262148 RXM262148 RNQ262148 RDU262148 QTY262148 QKC262148 QAG262148 PQK262148 PGO262148 OWS262148 OMW262148 ODA262148 NTE262148 NJI262148 MZM262148 MPQ262148 MFU262148 LVY262148 LMC262148 LCG262148 KSK262148 KIO262148 JYS262148 JOW262148 JFA262148 IVE262148 ILI262148 IBM262148 HRQ262148 HHU262148 GXY262148 GOC262148 GEG262148 FUK262148 FKO262148 FAS262148 EQW262148 EHA262148 DXE262148 DNI262148 DDM262148 CTQ262148 CJU262148 BZY262148 BQC262148 BGG262148 AWK262148 AMO262148 ACS262148 SW262148 JA262148 E262148 WVM196612 WLQ196612 WBU196612 VRY196612 VIC196612 UYG196612 UOK196612 UEO196612 TUS196612 TKW196612 TBA196612 SRE196612 SHI196612 RXM196612 RNQ196612 RDU196612 QTY196612 QKC196612 QAG196612 PQK196612 PGO196612 OWS196612 OMW196612 ODA196612 NTE196612 NJI196612 MZM196612 MPQ196612 MFU196612 LVY196612 LMC196612 LCG196612 KSK196612 KIO196612 JYS196612 JOW196612 JFA196612 IVE196612 ILI196612 IBM196612 HRQ196612 HHU196612 GXY196612 GOC196612 GEG196612 FUK196612 FKO196612 FAS196612 EQW196612 EHA196612 DXE196612 DNI196612 DDM196612 CTQ196612 CJU196612 BZY196612 BQC196612 BGG196612 AWK196612 AMO196612 ACS196612 SW196612 JA196612 E196612 WVM131076 WLQ131076 WBU131076 VRY131076 VIC131076 UYG131076 UOK131076 UEO131076 TUS131076 TKW131076 TBA131076 SRE131076 SHI131076 RXM131076 RNQ131076 RDU131076 QTY131076 QKC131076 QAG131076 PQK131076 PGO131076 OWS131076 OMW131076 ODA131076 NTE131076 NJI131076 MZM131076 MPQ131076 MFU131076 LVY131076 LMC131076 LCG131076 KSK131076 KIO131076 JYS131076 JOW131076 JFA131076 IVE131076 ILI131076 IBM131076 HRQ131076 HHU131076 GXY131076 GOC131076 GEG131076 FUK131076 FKO131076 FAS131076 EQW131076 EHA131076 DXE131076 DNI131076 DDM131076 CTQ131076 CJU131076 BZY131076 BQC131076 BGG131076 AWK131076 AMO131076 ACS131076 SW131076 JA131076 E131076 WVM65540 WLQ65540 WBU65540 VRY65540 VIC65540 UYG65540 UOK65540 UEO65540 TUS65540 TKW65540 TBA65540 SRE65540 SHI65540 RXM65540 RNQ65540 RDU65540 QTY65540 QKC65540 QAG65540 PQK65540 PGO65540 OWS65540 OMW65540 ODA65540 NTE65540 NJI65540 MZM65540 MPQ65540 MFU65540 LVY65540 LMC65540 LCG65540 KSK65540 KIO65540 JYS65540 JOW65540 JFA65540 IVE65540 ILI65540 IBM65540 HRQ65540 HHU65540 GXY65540 GOC65540 GEG65540 FUK65540 FKO65540 FAS65540 EQW65540 EHA65540 DXE65540 DNI65540 DDM65540 CTQ65540 CJU65540 BZY65540 BQC65540 BGG65540 AWK65540 AMO65540 ACS65540 SW65540 JA65540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5">
      <formula1>$G$5:$G$88</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09375" defaultRowHeight="14.4" x14ac:dyDescent="0.3"/>
  <cols>
    <col min="1" max="1" width="14.88671875" style="1005" customWidth="1"/>
    <col min="2" max="2" width="22.6640625" style="75" customWidth="1"/>
    <col min="3" max="3" width="22.33203125" style="75" customWidth="1"/>
    <col min="4" max="4" width="11" style="75" customWidth="1"/>
    <col min="5" max="5" width="10.109375" style="75" customWidth="1"/>
    <col min="6" max="6" width="10.33203125" style="75" customWidth="1"/>
    <col min="7" max="9" width="11.6640625" style="75" customWidth="1"/>
    <col min="10" max="10" width="8.33203125" style="75" customWidth="1"/>
    <col min="11" max="13" width="12.33203125" style="75" customWidth="1"/>
    <col min="14" max="14" width="16.44140625" style="75" customWidth="1"/>
    <col min="15" max="15" width="10.44140625" style="75" customWidth="1"/>
    <col min="16" max="16" width="11.33203125" style="75" customWidth="1"/>
    <col min="17" max="17" width="15.88671875" style="75" customWidth="1"/>
    <col min="18" max="18" width="12.5546875" style="75" customWidth="1"/>
    <col min="19" max="19" width="14.88671875" style="75" customWidth="1"/>
    <col min="20" max="20" width="15.109375" style="75" customWidth="1"/>
    <col min="21" max="21" width="12.44140625" style="75" customWidth="1"/>
    <col min="22" max="22" width="12.88671875" style="75" customWidth="1"/>
    <col min="23" max="23" width="11.44140625" style="75" customWidth="1"/>
    <col min="24" max="24" width="20.44140625" style="75" customWidth="1"/>
    <col min="25" max="25" width="14" style="75" customWidth="1"/>
    <col min="26" max="28" width="13" style="75" customWidth="1"/>
    <col min="29" max="29" width="14.6640625" style="75" customWidth="1"/>
    <col min="30" max="16384" width="9.109375" style="75"/>
  </cols>
  <sheetData>
    <row r="1" spans="1:46" ht="24.75" customHeight="1" x14ac:dyDescent="0.55000000000000004">
      <c r="A1" s="1763"/>
      <c r="B1" s="1763"/>
      <c r="C1" s="1763"/>
      <c r="D1" s="1763"/>
      <c r="E1" s="1763"/>
      <c r="F1" s="1763"/>
      <c r="G1" s="1763"/>
      <c r="H1" s="1763"/>
      <c r="I1" s="1763"/>
      <c r="J1" s="1763"/>
      <c r="K1" s="1763"/>
      <c r="L1" s="1763"/>
      <c r="M1" s="1763"/>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3">
      <c r="A2" s="923" t="s">
        <v>610</v>
      </c>
      <c r="B2" s="924" t="str">
        <f>CONCATENATE('Ввод исходных данных'!D14,'Ввод исходных данных'!D19,'Ввод исходных данных'!D17)</f>
        <v>Нет в списке103</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3">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3">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3">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3">
      <c r="A6" s="936"/>
      <c r="B6" s="1760" t="s">
        <v>1398</v>
      </c>
      <c r="C6" s="1761"/>
      <c r="D6" s="1761"/>
      <c r="E6" s="1761"/>
      <c r="F6" s="1762"/>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3">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3">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3">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3">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3">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3">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3">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3">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3">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3">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3">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3">
      <c r="A18" s="961" t="s">
        <v>1940</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3">
      <c r="A19" s="961" t="s">
        <v>1941</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3">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3">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3">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3">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3">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3">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3">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3">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3">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3">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3">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3">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3">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3">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3">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3">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3">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3">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3">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3">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3">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3">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3">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3">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3">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3">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3">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3">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3">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3">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3">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3">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3">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3">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3">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3">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3">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3">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3">
      <c r="A58" s="991" t="s">
        <v>1940</v>
      </c>
      <c r="B58" s="984"/>
      <c r="C58" s="991" t="s">
        <v>1940</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3">
      <c r="A59" s="991" t="s">
        <v>1941</v>
      </c>
      <c r="B59" s="984"/>
      <c r="C59" s="991" t="s">
        <v>1941</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3">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3">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3">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3">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3">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3">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3">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3">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3">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3">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3">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3">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3">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3">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3">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3">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3">
      <c r="A76" s="1003"/>
      <c r="B76" s="1003"/>
      <c r="C76" s="1003" t="str">
        <f>B2</f>
        <v>Нет в списке103</v>
      </c>
      <c r="D76" s="1003">
        <f>'Ввод исходных данных'!D19</f>
        <v>10</v>
      </c>
      <c r="E76" s="1003">
        <f>'Ввод исходных данных'!D17</f>
        <v>3</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28</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190.6</v>
      </c>
      <c r="AC76" s="74"/>
      <c r="AD76" s="74"/>
      <c r="AE76" s="74"/>
      <c r="AF76" s="74"/>
      <c r="AG76" s="74"/>
      <c r="AH76" s="74"/>
      <c r="AI76" s="74"/>
      <c r="AJ76" s="74"/>
      <c r="AK76" s="74"/>
      <c r="AL76" s="74"/>
      <c r="AM76" s="74"/>
      <c r="AN76" s="74"/>
      <c r="AO76" s="74"/>
      <c r="AP76" s="74"/>
      <c r="AQ76" s="74"/>
      <c r="AR76" s="74"/>
      <c r="AS76" s="74"/>
      <c r="AT76" s="74"/>
    </row>
    <row r="77" spans="1:46" x14ac:dyDescent="0.3">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3">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3">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3">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3">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3">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3">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3">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3">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139" zoomScale="75" zoomScaleNormal="75" workbookViewId="0">
      <selection activeCell="D158" sqref="D158"/>
    </sheetView>
  </sheetViews>
  <sheetFormatPr defaultColWidth="9.109375" defaultRowHeight="14.4" x14ac:dyDescent="0.3"/>
  <cols>
    <col min="1" max="1" width="38.33203125" style="75" customWidth="1"/>
    <col min="2" max="2" width="11.5546875" style="75" customWidth="1"/>
    <col min="3" max="3" width="15.5546875" style="75" customWidth="1"/>
    <col min="4" max="4" width="13.109375" style="75" customWidth="1"/>
    <col min="5" max="5" width="15.109375" style="75" customWidth="1"/>
    <col min="6" max="6" width="13.6640625" style="75" customWidth="1"/>
    <col min="7" max="7" width="37.44140625" style="75" customWidth="1"/>
    <col min="8" max="8" width="10" style="75" customWidth="1"/>
    <col min="9" max="9" width="12.88671875" style="75" customWidth="1"/>
    <col min="10" max="10" width="13.44140625" style="75" customWidth="1"/>
    <col min="11" max="11" width="14.33203125" style="75" customWidth="1"/>
    <col min="12" max="12" width="12.33203125" style="75" customWidth="1"/>
    <col min="13" max="13" width="13.109375" style="75" customWidth="1"/>
    <col min="14" max="14" width="15.33203125" style="75" customWidth="1"/>
    <col min="15" max="15" width="12.6640625" style="75" customWidth="1"/>
    <col min="16" max="16" width="11.33203125" style="75" customWidth="1"/>
    <col min="17" max="17" width="15.5546875" style="75" customWidth="1"/>
    <col min="18" max="18" width="15.6640625" style="75" customWidth="1"/>
    <col min="19" max="19" width="11.6640625" style="75" customWidth="1"/>
    <col min="20" max="20" width="13.109375" style="75" customWidth="1"/>
    <col min="21" max="21" width="11.44140625" style="75" customWidth="1"/>
    <col min="22" max="22" width="12.44140625" style="75" customWidth="1"/>
    <col min="23" max="23" width="14.109375" style="75" customWidth="1"/>
    <col min="24" max="24" width="12.44140625" style="75" customWidth="1"/>
    <col min="25" max="25" width="12.5546875" style="75" customWidth="1"/>
    <col min="26" max="26" width="16" style="75" customWidth="1"/>
    <col min="27" max="27" width="11.5546875" style="75" customWidth="1"/>
    <col min="28" max="28" width="13.44140625" style="75" customWidth="1"/>
    <col min="29" max="29" width="15.33203125" style="75" customWidth="1"/>
    <col min="30" max="30" width="12.44140625" style="75" customWidth="1"/>
    <col min="31" max="31" width="14.109375" style="75" customWidth="1"/>
    <col min="32" max="32" width="14.88671875" style="75" customWidth="1"/>
    <col min="33" max="33" width="12" style="75" customWidth="1"/>
    <col min="34" max="34" width="13.44140625" style="75" customWidth="1"/>
    <col min="35" max="35" width="14.88671875" style="75" customWidth="1"/>
    <col min="36" max="36" width="11.6640625" style="75" customWidth="1"/>
    <col min="37" max="37" width="12.5546875" style="75" customWidth="1"/>
    <col min="38" max="38" width="16" style="75" customWidth="1"/>
    <col min="39" max="39" width="12.6640625" style="75" customWidth="1"/>
    <col min="40" max="40" width="12.44140625" style="75" customWidth="1"/>
    <col min="41" max="41" width="13.88671875" style="75" customWidth="1"/>
    <col min="42" max="42" width="12.5546875" style="75" customWidth="1"/>
    <col min="43" max="44" width="13.33203125" style="75" customWidth="1"/>
    <col min="45" max="45" width="9.109375" style="75"/>
    <col min="46" max="46" width="12.109375" style="75" customWidth="1"/>
    <col min="47" max="16384" width="9.109375" style="75"/>
  </cols>
  <sheetData>
    <row r="1" spans="1:67" x14ac:dyDescent="0.3">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5">
      <c r="A3" s="1788" t="s">
        <v>1172</v>
      </c>
      <c r="B3" s="1788"/>
      <c r="C3" s="1788"/>
      <c r="D3" s="1788"/>
      <c r="E3" s="1788"/>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3">
      <c r="A4" s="1792" t="s">
        <v>834</v>
      </c>
      <c r="B4" s="1778" t="s">
        <v>1174</v>
      </c>
      <c r="C4" s="1794" t="s">
        <v>1175</v>
      </c>
      <c r="D4" s="1774" t="s">
        <v>1176</v>
      </c>
      <c r="E4" s="1772" t="s">
        <v>1177</v>
      </c>
      <c r="F4" s="74"/>
      <c r="G4" s="1781" t="s">
        <v>834</v>
      </c>
      <c r="H4" s="1786" t="s">
        <v>1174</v>
      </c>
      <c r="I4" s="1789" t="s">
        <v>488</v>
      </c>
      <c r="J4" s="1790"/>
      <c r="K4" s="1791"/>
      <c r="L4" s="1789" t="s">
        <v>489</v>
      </c>
      <c r="M4" s="1790"/>
      <c r="N4" s="1791"/>
      <c r="O4" s="1789" t="s">
        <v>490</v>
      </c>
      <c r="P4" s="1790"/>
      <c r="Q4" s="1791"/>
      <c r="R4" s="1789" t="s">
        <v>491</v>
      </c>
      <c r="S4" s="1790"/>
      <c r="T4" s="1791"/>
      <c r="U4" s="1789" t="s">
        <v>805</v>
      </c>
      <c r="V4" s="1790"/>
      <c r="W4" s="1791"/>
      <c r="X4" s="1789" t="s">
        <v>806</v>
      </c>
      <c r="Y4" s="1790"/>
      <c r="Z4" s="1791"/>
      <c r="AA4" s="1789" t="s">
        <v>807</v>
      </c>
      <c r="AB4" s="1790"/>
      <c r="AC4" s="1791"/>
      <c r="AD4" s="1789" t="s">
        <v>808</v>
      </c>
      <c r="AE4" s="1790"/>
      <c r="AF4" s="1791"/>
      <c r="AG4" s="1789" t="s">
        <v>809</v>
      </c>
      <c r="AH4" s="1790"/>
      <c r="AI4" s="1791"/>
      <c r="AJ4" s="1789" t="s">
        <v>482</v>
      </c>
      <c r="AK4" s="1790"/>
      <c r="AL4" s="1791"/>
      <c r="AM4" s="1789" t="s">
        <v>486</v>
      </c>
      <c r="AN4" s="1790"/>
      <c r="AO4" s="1791"/>
      <c r="AP4" s="1796" t="s">
        <v>487</v>
      </c>
      <c r="AQ4" s="1797"/>
      <c r="AR4" s="1797"/>
      <c r="AS4" s="74"/>
      <c r="AT4" s="74"/>
      <c r="AU4" s="74"/>
      <c r="AV4" s="74"/>
      <c r="AW4" s="74"/>
      <c r="AX4" s="74"/>
      <c r="AY4" s="74"/>
      <c r="AZ4" s="74"/>
      <c r="BA4" s="74"/>
      <c r="BB4" s="74"/>
      <c r="BC4" s="74"/>
      <c r="BD4" s="74"/>
      <c r="BE4" s="74"/>
      <c r="BF4" s="74"/>
      <c r="BG4" s="74"/>
      <c r="BH4" s="74"/>
      <c r="BI4" s="74"/>
      <c r="BJ4" s="74"/>
      <c r="BK4" s="74"/>
      <c r="BL4" s="74"/>
      <c r="BM4" s="74"/>
      <c r="BN4" s="74"/>
      <c r="BO4" s="74"/>
    </row>
    <row r="5" spans="1:67" ht="72.900000000000006" customHeight="1" thickBot="1" x14ac:dyDescent="0.35">
      <c r="A5" s="1793"/>
      <c r="B5" s="1779"/>
      <c r="C5" s="1795"/>
      <c r="D5" s="1775"/>
      <c r="E5" s="1773"/>
      <c r="F5" s="74"/>
      <c r="G5" s="1782"/>
      <c r="H5" s="1787"/>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3">
      <c r="A6" s="522" t="s">
        <v>1178</v>
      </c>
      <c r="B6" s="523" t="s">
        <v>842</v>
      </c>
      <c r="C6" s="524">
        <f>C12+C15+C18</f>
        <v>1550367.6211913875</v>
      </c>
      <c r="D6" s="525">
        <f>D12+D15+D18</f>
        <v>1658428.8450000002</v>
      </c>
      <c r="E6" s="526">
        <f>E12+E15+E18</f>
        <v>1747887.6378726182</v>
      </c>
      <c r="F6" s="74"/>
      <c r="G6" s="527" t="s">
        <v>1178</v>
      </c>
      <c r="H6" s="528" t="s">
        <v>842</v>
      </c>
      <c r="I6" s="327">
        <f>I12+I15+I18</f>
        <v>235316.9043809461</v>
      </c>
      <c r="J6" s="529">
        <f t="shared" ref="J6" si="0">J12+J15+J18</f>
        <v>266822.74799999996</v>
      </c>
      <c r="K6" s="530">
        <f t="shared" ref="K6" si="1">K12+K15+K18</f>
        <v>272127.82660361746</v>
      </c>
      <c r="L6" s="327">
        <f>L12+L15+L18</f>
        <v>208428.32271860188</v>
      </c>
      <c r="M6" s="529">
        <f t="shared" ref="M6:N6" si="2">M12+M15+M18</f>
        <v>216902.92199999999</v>
      </c>
      <c r="N6" s="530">
        <f t="shared" si="2"/>
        <v>228495.80493481379</v>
      </c>
      <c r="O6" s="531">
        <f>O12+O15+O18</f>
        <v>197650.36497234969</v>
      </c>
      <c r="P6" s="532">
        <f t="shared" ref="P6:Q6" si="3">P12+P15+P18</f>
        <v>231796.32099999997</v>
      </c>
      <c r="Q6" s="533">
        <f t="shared" si="3"/>
        <v>256146.23979239262</v>
      </c>
      <c r="R6" s="327">
        <f>R12+R15+R18</f>
        <v>98317.658519601406</v>
      </c>
      <c r="S6" s="529">
        <f t="shared" ref="S6:T6" si="4">S12+S15+S18</f>
        <v>151171.54999999999</v>
      </c>
      <c r="T6" s="530">
        <f t="shared" si="4"/>
        <v>196736.97521968136</v>
      </c>
      <c r="U6" s="531">
        <f>U12+U15+U18</f>
        <v>35192.56275978488</v>
      </c>
      <c r="V6" s="532">
        <f t="shared" ref="V6:W6" si="5">V12+V15+V18</f>
        <v>48380.017999999996</v>
      </c>
      <c r="W6" s="533">
        <f t="shared" si="5"/>
        <v>39432.103014</v>
      </c>
      <c r="X6" s="327">
        <f>X12+X15+X18</f>
        <v>34139.23170301762</v>
      </c>
      <c r="Y6" s="529">
        <f t="shared" ref="Y6:Z6" si="6">Y12+Y15+Y18</f>
        <v>43476.960999999996</v>
      </c>
      <c r="Z6" s="530">
        <f t="shared" si="6"/>
        <v>36085.842465999995</v>
      </c>
      <c r="AA6" s="531">
        <f>AA12+AA15+AA18</f>
        <v>20445.92796504332</v>
      </c>
      <c r="AB6" s="532">
        <f t="shared" ref="AB6:AC6" si="7">AB12+AB15+AB18</f>
        <v>44737.206000000006</v>
      </c>
      <c r="AC6" s="533">
        <f t="shared" si="7"/>
        <v>33718.524157</v>
      </c>
      <c r="AD6" s="327">
        <f>AD12+AD15+AD18</f>
        <v>35192.56275978488</v>
      </c>
      <c r="AE6" s="529">
        <f t="shared" ref="AE6:AF6" si="8">AE12+AE15+AE18</f>
        <v>46396.289999999994</v>
      </c>
      <c r="AF6" s="530">
        <f t="shared" si="8"/>
        <v>30363.573235</v>
      </c>
      <c r="AG6" s="327">
        <f>AG12+AG15+AG18</f>
        <v>41049.438748132648</v>
      </c>
      <c r="AH6" s="529">
        <f t="shared" ref="AH6:AI6" si="9">AH12+AH15+AH18</f>
        <v>46453.29</v>
      </c>
      <c r="AI6" s="530">
        <f t="shared" si="9"/>
        <v>32328.969010000001</v>
      </c>
      <c r="AJ6" s="327">
        <f>AJ12+AJ15+AJ18</f>
        <v>81829.911169410567</v>
      </c>
      <c r="AK6" s="529">
        <f t="shared" ref="AK6:AL6" si="10">AK12+AK15+AK18</f>
        <v>98123.073000000004</v>
      </c>
      <c r="AL6" s="530">
        <f t="shared" si="10"/>
        <v>73943.302312931992</v>
      </c>
      <c r="AM6" s="327">
        <f>AM12+AM15+AM18</f>
        <v>175467.34873388332</v>
      </c>
      <c r="AN6" s="529">
        <f t="shared" ref="AN6:AO6" si="11">AN12+AN15+AN18</f>
        <v>237332.96400000001</v>
      </c>
      <c r="AO6" s="530">
        <f t="shared" si="11"/>
        <v>239814.25187304884</v>
      </c>
      <c r="AP6" s="534">
        <f>AP12+AP15+AP18</f>
        <v>217932.34773082469</v>
      </c>
      <c r="AQ6" s="535">
        <f t="shared" ref="AQ6:AR6" si="12">AQ12+AQ15+AQ18</f>
        <v>226835.50200000001</v>
      </c>
      <c r="AR6" s="535">
        <f t="shared" si="12"/>
        <v>259082.38528142284</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3">
      <c r="A7" s="358" t="s">
        <v>874</v>
      </c>
      <c r="B7" s="359" t="s">
        <v>1180</v>
      </c>
      <c r="C7" s="536">
        <f>C6*0.123/1000</f>
        <v>190.69521740654068</v>
      </c>
      <c r="D7" s="537">
        <f>D6*0.123/1000</f>
        <v>203.98674793500001</v>
      </c>
      <c r="E7" s="538">
        <f>E6*0.123/1000</f>
        <v>214.99017945833205</v>
      </c>
      <c r="F7" s="74"/>
      <c r="G7" s="539" t="s">
        <v>874</v>
      </c>
      <c r="H7" s="540" t="s">
        <v>1180</v>
      </c>
      <c r="I7" s="536">
        <f t="shared" ref="I7:AR7" si="13">I6*0.123/1000</f>
        <v>28.943979238856368</v>
      </c>
      <c r="J7" s="537">
        <f t="shared" si="13"/>
        <v>32.819198004</v>
      </c>
      <c r="K7" s="538">
        <f t="shared" si="13"/>
        <v>33.471722672244951</v>
      </c>
      <c r="L7" s="536">
        <f t="shared" si="13"/>
        <v>25.636683694388029</v>
      </c>
      <c r="M7" s="537">
        <f t="shared" si="13"/>
        <v>26.679059406</v>
      </c>
      <c r="N7" s="538">
        <f t="shared" si="13"/>
        <v>28.104984006982097</v>
      </c>
      <c r="O7" s="536">
        <f t="shared" si="13"/>
        <v>24.310994891599012</v>
      </c>
      <c r="P7" s="537">
        <f t="shared" si="13"/>
        <v>28.510947482999995</v>
      </c>
      <c r="Q7" s="538">
        <f t="shared" si="13"/>
        <v>31.505987494464289</v>
      </c>
      <c r="R7" s="536">
        <f t="shared" si="13"/>
        <v>12.093071997910972</v>
      </c>
      <c r="S7" s="537">
        <f t="shared" si="13"/>
        <v>18.594100649999998</v>
      </c>
      <c r="T7" s="538">
        <f t="shared" si="13"/>
        <v>24.19864795202081</v>
      </c>
      <c r="U7" s="536">
        <f t="shared" si="13"/>
        <v>4.3286852194535408</v>
      </c>
      <c r="V7" s="537">
        <f t="shared" si="13"/>
        <v>5.9507422139999999</v>
      </c>
      <c r="W7" s="538">
        <f t="shared" si="13"/>
        <v>4.8501486707220005</v>
      </c>
      <c r="X7" s="536">
        <f t="shared" si="13"/>
        <v>4.1991254994711671</v>
      </c>
      <c r="Y7" s="537">
        <f t="shared" si="13"/>
        <v>5.3476662030000002</v>
      </c>
      <c r="Z7" s="538">
        <f t="shared" si="13"/>
        <v>4.4385586233179994</v>
      </c>
      <c r="AA7" s="536">
        <f t="shared" si="13"/>
        <v>2.5148491397003281</v>
      </c>
      <c r="AB7" s="537">
        <f t="shared" si="13"/>
        <v>5.5026763380000006</v>
      </c>
      <c r="AC7" s="541">
        <f t="shared" si="13"/>
        <v>4.1473784713109998</v>
      </c>
      <c r="AD7" s="536">
        <f t="shared" si="13"/>
        <v>4.3286852194535408</v>
      </c>
      <c r="AE7" s="537">
        <f t="shared" si="13"/>
        <v>5.7067436699999989</v>
      </c>
      <c r="AF7" s="538">
        <f t="shared" si="13"/>
        <v>3.734719507905</v>
      </c>
      <c r="AG7" s="536">
        <f t="shared" si="13"/>
        <v>5.0490809660203162</v>
      </c>
      <c r="AH7" s="537">
        <f t="shared" si="13"/>
        <v>5.7137546700000001</v>
      </c>
      <c r="AI7" s="538">
        <f t="shared" si="13"/>
        <v>3.9764631882299999</v>
      </c>
      <c r="AJ7" s="536">
        <f t="shared" si="13"/>
        <v>10.0650790738375</v>
      </c>
      <c r="AK7" s="537">
        <f t="shared" si="13"/>
        <v>12.069137979000001</v>
      </c>
      <c r="AL7" s="538">
        <f t="shared" si="13"/>
        <v>9.095026184490635</v>
      </c>
      <c r="AM7" s="536">
        <f t="shared" si="13"/>
        <v>21.582483894267646</v>
      </c>
      <c r="AN7" s="537">
        <f t="shared" si="13"/>
        <v>29.191954572</v>
      </c>
      <c r="AO7" s="538">
        <f t="shared" si="13"/>
        <v>29.497152980385007</v>
      </c>
      <c r="AP7" s="542">
        <f t="shared" si="13"/>
        <v>26.805678770891436</v>
      </c>
      <c r="AQ7" s="537">
        <f t="shared" si="13"/>
        <v>27.900766746000002</v>
      </c>
      <c r="AR7" s="538">
        <f t="shared" si="13"/>
        <v>31.86713338961501</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5">
      <c r="A8" s="385" t="s">
        <v>874</v>
      </c>
      <c r="B8" s="386" t="s">
        <v>1181</v>
      </c>
      <c r="C8" s="543">
        <f>C14+C17+C19</f>
        <v>1.0000000000000002</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3">
      <c r="A9" s="554" t="s">
        <v>1347</v>
      </c>
      <c r="B9" s="523" t="s">
        <v>842</v>
      </c>
      <c r="C9" s="555">
        <f>C12+C15</f>
        <v>1513999.2211913876</v>
      </c>
      <c r="D9" s="525">
        <f>D12+D15</f>
        <v>1641940.8450000002</v>
      </c>
      <c r="E9" s="556">
        <f>E12+E15</f>
        <v>1731399.6378726182</v>
      </c>
      <c r="F9" s="456"/>
      <c r="G9" s="557" t="s">
        <v>1183</v>
      </c>
      <c r="H9" s="528" t="s">
        <v>842</v>
      </c>
      <c r="I9" s="327">
        <f t="shared" ref="I9:AR9" si="16">I12+I15</f>
        <v>232256.80438094609</v>
      </c>
      <c r="J9" s="529">
        <f t="shared" si="16"/>
        <v>264926.74799999996</v>
      </c>
      <c r="K9" s="530">
        <f t="shared" si="16"/>
        <v>270231.82660361746</v>
      </c>
      <c r="L9" s="327">
        <f t="shared" si="16"/>
        <v>205418.62271860187</v>
      </c>
      <c r="M9" s="529">
        <f t="shared" si="16"/>
        <v>215496.92199999999</v>
      </c>
      <c r="N9" s="530">
        <f t="shared" si="16"/>
        <v>227089.80493481379</v>
      </c>
      <c r="O9" s="327">
        <f t="shared" si="16"/>
        <v>194590.26497234969</v>
      </c>
      <c r="P9" s="529">
        <f t="shared" si="16"/>
        <v>230119.32099999997</v>
      </c>
      <c r="Q9" s="530">
        <f t="shared" si="16"/>
        <v>254469.23979239262</v>
      </c>
      <c r="R9" s="327">
        <f t="shared" si="16"/>
        <v>95274.358519601403</v>
      </c>
      <c r="S9" s="529">
        <f t="shared" si="16"/>
        <v>149852.54999999999</v>
      </c>
      <c r="T9" s="530">
        <f t="shared" si="16"/>
        <v>195417.97521968136</v>
      </c>
      <c r="U9" s="327">
        <f t="shared" si="16"/>
        <v>32132.462759784878</v>
      </c>
      <c r="V9" s="529">
        <f t="shared" si="16"/>
        <v>47783.017999999996</v>
      </c>
      <c r="W9" s="530">
        <f t="shared" si="16"/>
        <v>38835.103014</v>
      </c>
      <c r="X9" s="327">
        <f t="shared" si="16"/>
        <v>31095.931703017621</v>
      </c>
      <c r="Y9" s="529">
        <f t="shared" si="16"/>
        <v>42038.960999999996</v>
      </c>
      <c r="Z9" s="530">
        <f t="shared" si="16"/>
        <v>34647.842465999995</v>
      </c>
      <c r="AA9" s="327">
        <f t="shared" si="16"/>
        <v>17621.027965043319</v>
      </c>
      <c r="AB9" s="529">
        <f t="shared" si="16"/>
        <v>43917.206000000006</v>
      </c>
      <c r="AC9" s="530">
        <f t="shared" si="16"/>
        <v>32898.524157</v>
      </c>
      <c r="AD9" s="327">
        <f t="shared" si="16"/>
        <v>32132.462759784878</v>
      </c>
      <c r="AE9" s="529">
        <f t="shared" si="16"/>
        <v>45159.289999999994</v>
      </c>
      <c r="AF9" s="530">
        <f t="shared" si="16"/>
        <v>29126.573235</v>
      </c>
      <c r="AG9" s="327">
        <f t="shared" si="16"/>
        <v>38006.138748132646</v>
      </c>
      <c r="AH9" s="529">
        <f t="shared" si="16"/>
        <v>45159.29</v>
      </c>
      <c r="AI9" s="530">
        <f t="shared" si="16"/>
        <v>31034.969010000001</v>
      </c>
      <c r="AJ9" s="327">
        <f t="shared" si="16"/>
        <v>78769.811169410561</v>
      </c>
      <c r="AK9" s="529">
        <f t="shared" si="16"/>
        <v>97193.073000000004</v>
      </c>
      <c r="AL9" s="530">
        <f t="shared" si="16"/>
        <v>73013.302312931992</v>
      </c>
      <c r="AM9" s="327">
        <f t="shared" si="16"/>
        <v>172424.04873388333</v>
      </c>
      <c r="AN9" s="529">
        <f t="shared" si="16"/>
        <v>234725.96400000001</v>
      </c>
      <c r="AO9" s="530">
        <f t="shared" si="16"/>
        <v>237207.25187304884</v>
      </c>
      <c r="AP9" s="534">
        <f t="shared" si="16"/>
        <v>214872.24773082469</v>
      </c>
      <c r="AQ9" s="535">
        <f t="shared" si="16"/>
        <v>225568.50200000001</v>
      </c>
      <c r="AR9" s="535">
        <f t="shared" si="16"/>
        <v>257815.38528142284</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3">
      <c r="A10" s="358" t="s">
        <v>874</v>
      </c>
      <c r="B10" s="359" t="s">
        <v>1184</v>
      </c>
      <c r="C10" s="558">
        <f>C9*0.86/1000</f>
        <v>1302.0393302245934</v>
      </c>
      <c r="D10" s="559">
        <f>D9*0.86/1000</f>
        <v>1412.0691267000002</v>
      </c>
      <c r="E10" s="560">
        <f>E9*0.86/1000</f>
        <v>1489.0036885704517</v>
      </c>
      <c r="F10" s="74">
        <f>C10/'Ввод исходных данных'!$G$45</f>
        <v>0.1905126024558986</v>
      </c>
      <c r="G10" s="539" t="s">
        <v>874</v>
      </c>
      <c r="H10" s="540" t="s">
        <v>1184</v>
      </c>
      <c r="I10" s="561">
        <f t="shared" ref="I10:AR10" si="17">I9*0.86/1000</f>
        <v>199.74085176761363</v>
      </c>
      <c r="J10" s="286">
        <f t="shared" si="17"/>
        <v>227.83700327999998</v>
      </c>
      <c r="K10" s="562">
        <f t="shared" si="17"/>
        <v>232.39937087911102</v>
      </c>
      <c r="L10" s="561">
        <f t="shared" si="17"/>
        <v>176.66001553799759</v>
      </c>
      <c r="M10" s="286">
        <f t="shared" si="17"/>
        <v>185.32735291999998</v>
      </c>
      <c r="N10" s="562">
        <f t="shared" si="17"/>
        <v>195.29723224393985</v>
      </c>
      <c r="O10" s="561">
        <f t="shared" si="17"/>
        <v>167.34762787622074</v>
      </c>
      <c r="P10" s="286">
        <f t="shared" si="17"/>
        <v>197.90261605999996</v>
      </c>
      <c r="Q10" s="562">
        <f t="shared" si="17"/>
        <v>218.84354622145764</v>
      </c>
      <c r="R10" s="561">
        <f t="shared" si="17"/>
        <v>81.935948326857201</v>
      </c>
      <c r="S10" s="286">
        <f t="shared" si="17"/>
        <v>128.87319299999999</v>
      </c>
      <c r="T10" s="562">
        <f t="shared" si="17"/>
        <v>168.05945868892599</v>
      </c>
      <c r="U10" s="561">
        <f t="shared" si="17"/>
        <v>27.633917973414995</v>
      </c>
      <c r="V10" s="286">
        <f t="shared" si="17"/>
        <v>41.093395479999998</v>
      </c>
      <c r="W10" s="562">
        <f t="shared" si="17"/>
        <v>33.39818859204</v>
      </c>
      <c r="X10" s="561">
        <f t="shared" si="17"/>
        <v>26.742501264595155</v>
      </c>
      <c r="Y10" s="286">
        <f t="shared" si="17"/>
        <v>36.153506459999996</v>
      </c>
      <c r="Z10" s="562">
        <f t="shared" si="17"/>
        <v>29.797144520759993</v>
      </c>
      <c r="AA10" s="561">
        <f t="shared" si="17"/>
        <v>15.154084049937254</v>
      </c>
      <c r="AB10" s="286">
        <f t="shared" si="17"/>
        <v>37.768797160000005</v>
      </c>
      <c r="AC10" s="562">
        <f t="shared" si="17"/>
        <v>28.292730775019997</v>
      </c>
      <c r="AD10" s="561">
        <f t="shared" si="17"/>
        <v>27.633917973414995</v>
      </c>
      <c r="AE10" s="286">
        <f t="shared" si="17"/>
        <v>38.836989399999993</v>
      </c>
      <c r="AF10" s="562">
        <f t="shared" si="17"/>
        <v>25.048852982100001</v>
      </c>
      <c r="AG10" s="561">
        <f t="shared" si="17"/>
        <v>32.685279323394077</v>
      </c>
      <c r="AH10" s="286">
        <f t="shared" si="17"/>
        <v>38.8369894</v>
      </c>
      <c r="AI10" s="562">
        <f t="shared" si="17"/>
        <v>26.690073348599999</v>
      </c>
      <c r="AJ10" s="561">
        <f t="shared" si="17"/>
        <v>67.742037605693085</v>
      </c>
      <c r="AK10" s="286">
        <f t="shared" si="17"/>
        <v>83.58604278</v>
      </c>
      <c r="AL10" s="562">
        <f t="shared" si="17"/>
        <v>62.791439989121514</v>
      </c>
      <c r="AM10" s="561">
        <f t="shared" si="17"/>
        <v>148.28468191113967</v>
      </c>
      <c r="AN10" s="286">
        <f t="shared" si="17"/>
        <v>201.86432904</v>
      </c>
      <c r="AO10" s="562">
        <f t="shared" si="17"/>
        <v>203.998236610822</v>
      </c>
      <c r="AP10" s="563">
        <f t="shared" si="17"/>
        <v>184.7901330485092</v>
      </c>
      <c r="AQ10" s="286">
        <f t="shared" si="17"/>
        <v>193.98891172</v>
      </c>
      <c r="AR10" s="286">
        <f t="shared" si="17"/>
        <v>221.72123134202366</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3">
      <c r="A11" s="358" t="s">
        <v>874</v>
      </c>
      <c r="B11" s="359" t="s">
        <v>1181</v>
      </c>
      <c r="C11" s="564">
        <f>C9/$C$6</f>
        <v>0.9765420797603781</v>
      </c>
      <c r="D11" s="565">
        <f>D9/$D$6</f>
        <v>0.99005806004296792</v>
      </c>
      <c r="E11" s="566"/>
      <c r="F11" s="74">
        <f>E10/'Ввод исходных данных'!$G$45</f>
        <v>0.21786897000035874</v>
      </c>
      <c r="G11" s="539"/>
      <c r="H11" s="540"/>
      <c r="I11" s="567">
        <f t="shared" ref="I11:AR11" si="18">I9/I$6</f>
        <v>0.9869958343704619</v>
      </c>
      <c r="J11" s="553">
        <f t="shared" si="18"/>
        <v>0.99289415908421719</v>
      </c>
      <c r="K11" s="568">
        <f t="shared" si="18"/>
        <v>0.99303268605910811</v>
      </c>
      <c r="L11" s="567">
        <f t="shared" si="18"/>
        <v>0.98556002389337749</v>
      </c>
      <c r="M11" s="553">
        <f t="shared" si="18"/>
        <v>0.99351783744065925</v>
      </c>
      <c r="N11" s="568">
        <f t="shared" si="18"/>
        <v>0.9938467141643974</v>
      </c>
      <c r="O11" s="567">
        <f t="shared" si="18"/>
        <v>0.98451761017275075</v>
      </c>
      <c r="P11" s="553">
        <f t="shared" si="18"/>
        <v>0.99276520009996194</v>
      </c>
      <c r="Q11" s="568">
        <f t="shared" si="18"/>
        <v>0.99345295874200923</v>
      </c>
      <c r="R11" s="567">
        <f t="shared" si="18"/>
        <v>0.96904625226206675</v>
      </c>
      <c r="S11" s="553">
        <f t="shared" si="18"/>
        <v>0.99127481328331957</v>
      </c>
      <c r="T11" s="568">
        <f t="shared" si="18"/>
        <v>0.99329561716333614</v>
      </c>
      <c r="U11" s="567">
        <f t="shared" si="18"/>
        <v>0.91304696901764626</v>
      </c>
      <c r="V11" s="553">
        <f t="shared" si="18"/>
        <v>0.9876601947523046</v>
      </c>
      <c r="W11" s="568">
        <f t="shared" si="18"/>
        <v>0.98486005172516311</v>
      </c>
      <c r="X11" s="567">
        <f t="shared" si="18"/>
        <v>0.91085622469556049</v>
      </c>
      <c r="Y11" s="553">
        <f t="shared" si="18"/>
        <v>0.96692501115705853</v>
      </c>
      <c r="Z11" s="568">
        <f t="shared" si="18"/>
        <v>0.9601505770204789</v>
      </c>
      <c r="AA11" s="567">
        <f t="shared" si="18"/>
        <v>0.86183556917398074</v>
      </c>
      <c r="AB11" s="553">
        <f t="shared" si="18"/>
        <v>0.98167073732767307</v>
      </c>
      <c r="AC11" s="568">
        <f t="shared" si="18"/>
        <v>0.975681023398832</v>
      </c>
      <c r="AD11" s="567">
        <f t="shared" si="18"/>
        <v>0.91304696901764626</v>
      </c>
      <c r="AE11" s="553">
        <f t="shared" si="18"/>
        <v>0.97333838546142371</v>
      </c>
      <c r="AF11" s="568">
        <f t="shared" si="18"/>
        <v>0.95926039434073873</v>
      </c>
      <c r="AG11" s="567">
        <f t="shared" si="18"/>
        <v>0.92586256736242356</v>
      </c>
      <c r="AH11" s="553">
        <f t="shared" si="18"/>
        <v>0.97214406127101005</v>
      </c>
      <c r="AI11" s="568">
        <f t="shared" si="18"/>
        <v>0.95997397876809065</v>
      </c>
      <c r="AJ11" s="567">
        <f t="shared" si="18"/>
        <v>0.9626041388012172</v>
      </c>
      <c r="AK11" s="553">
        <f t="shared" si="18"/>
        <v>0.99052210686471265</v>
      </c>
      <c r="AL11" s="568">
        <f t="shared" si="18"/>
        <v>0.98742279596785942</v>
      </c>
      <c r="AM11" s="567">
        <f t="shared" si="18"/>
        <v>0.98265603246439026</v>
      </c>
      <c r="AN11" s="553">
        <f t="shared" si="18"/>
        <v>0.98901543234424028</v>
      </c>
      <c r="AO11" s="568">
        <f t="shared" si="18"/>
        <v>0.98912908645070818</v>
      </c>
      <c r="AP11" s="552">
        <f t="shared" si="18"/>
        <v>0.98595848651261431</v>
      </c>
      <c r="AQ11" s="553">
        <f t="shared" si="18"/>
        <v>0.99441445457686772</v>
      </c>
      <c r="AR11" s="553">
        <f t="shared" si="18"/>
        <v>0.99510966367465026</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3">
      <c r="A12" s="569" t="s">
        <v>1185</v>
      </c>
      <c r="B12" s="570" t="s">
        <v>842</v>
      </c>
      <c r="C12" s="571">
        <f>C35</f>
        <v>944746.27628697851</v>
      </c>
      <c r="D12" s="572">
        <f>D35</f>
        <v>1249165.921475308</v>
      </c>
      <c r="E12" s="573">
        <f>E35</f>
        <v>1338624.714347926</v>
      </c>
      <c r="F12" s="74"/>
      <c r="G12" s="574" t="s">
        <v>1185</v>
      </c>
      <c r="H12" s="575" t="s">
        <v>842</v>
      </c>
      <c r="I12" s="576">
        <f t="shared" ref="I12:AR12" si="19">I35</f>
        <v>188620.12655901603</v>
      </c>
      <c r="J12" s="305">
        <f t="shared" si="19"/>
        <v>230240.41139699999</v>
      </c>
      <c r="K12" s="577">
        <f t="shared" si="19"/>
        <v>235545.49000061749</v>
      </c>
      <c r="L12" s="578">
        <f t="shared" si="19"/>
        <v>166004.84920201986</v>
      </c>
      <c r="M12" s="305">
        <f t="shared" si="19"/>
        <v>181919.08605399998</v>
      </c>
      <c r="N12" s="577">
        <f t="shared" si="19"/>
        <v>193511.96898881378</v>
      </c>
      <c r="O12" s="578">
        <f t="shared" si="19"/>
        <v>150953.58715041963</v>
      </c>
      <c r="P12" s="305">
        <f t="shared" si="19"/>
        <v>198451.83815799997</v>
      </c>
      <c r="Q12" s="577">
        <f t="shared" si="19"/>
        <v>222801.75695039262</v>
      </c>
      <c r="R12" s="578">
        <f t="shared" si="19"/>
        <v>64178.426816583786</v>
      </c>
      <c r="S12" s="305">
        <f t="shared" si="19"/>
        <v>116800.58311200001</v>
      </c>
      <c r="T12" s="577">
        <f t="shared" si="19"/>
        <v>162366.00833168137</v>
      </c>
      <c r="U12" s="576">
        <f t="shared" si="19"/>
        <v>0</v>
      </c>
      <c r="V12" s="305">
        <f t="shared" si="19"/>
        <v>8947.9149859999961</v>
      </c>
      <c r="W12" s="577">
        <f t="shared" si="19"/>
        <v>0</v>
      </c>
      <c r="X12" s="576">
        <f t="shared" si="19"/>
        <v>0</v>
      </c>
      <c r="Y12" s="305">
        <f t="shared" si="19"/>
        <v>7391.1185340000011</v>
      </c>
      <c r="Z12" s="577">
        <f t="shared" si="19"/>
        <v>0</v>
      </c>
      <c r="AA12" s="578">
        <f t="shared" si="19"/>
        <v>0</v>
      </c>
      <c r="AB12" s="305">
        <f t="shared" si="19"/>
        <v>11018.681843000002</v>
      </c>
      <c r="AC12" s="577">
        <f t="shared" si="19"/>
        <v>0</v>
      </c>
      <c r="AD12" s="576">
        <f t="shared" si="19"/>
        <v>0</v>
      </c>
      <c r="AE12" s="305">
        <f t="shared" si="19"/>
        <v>16032.716764999997</v>
      </c>
      <c r="AF12" s="577">
        <f t="shared" si="19"/>
        <v>0</v>
      </c>
      <c r="AG12" s="578">
        <f t="shared" si="19"/>
        <v>0</v>
      </c>
      <c r="AH12" s="305">
        <f t="shared" si="19"/>
        <v>14124.320989999998</v>
      </c>
      <c r="AI12" s="577">
        <f t="shared" si="19"/>
        <v>0</v>
      </c>
      <c r="AJ12" s="576">
        <f t="shared" si="19"/>
        <v>46637.348409625687</v>
      </c>
      <c r="AK12" s="305">
        <f t="shared" si="19"/>
        <v>67415.717529000001</v>
      </c>
      <c r="AL12" s="577">
        <f t="shared" si="19"/>
        <v>43235.946841931989</v>
      </c>
      <c r="AM12" s="578">
        <f t="shared" si="19"/>
        <v>130195.00568040262</v>
      </c>
      <c r="AN12" s="305">
        <f t="shared" si="19"/>
        <v>203465.60559000002</v>
      </c>
      <c r="AO12" s="577">
        <f t="shared" si="19"/>
        <v>205946.89346304885</v>
      </c>
      <c r="AP12" s="579">
        <f t="shared" si="19"/>
        <v>171235.56990889463</v>
      </c>
      <c r="AQ12" s="305">
        <f t="shared" si="19"/>
        <v>194593.26118100001</v>
      </c>
      <c r="AR12" s="305">
        <f t="shared" si="19"/>
        <v>226840.14446242285</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3">
      <c r="A13" s="358" t="s">
        <v>874</v>
      </c>
      <c r="B13" s="359" t="s">
        <v>1184</v>
      </c>
      <c r="C13" s="558">
        <f>C12*0.86/1000</f>
        <v>812.48179760680148</v>
      </c>
      <c r="D13" s="559">
        <f>D36</f>
        <v>1074.0893563846157</v>
      </c>
      <c r="E13" s="560">
        <f>E36</f>
        <v>1151.2172543392162</v>
      </c>
      <c r="F13" s="74">
        <f>C13/'Ввод исходных данных'!$G$45</f>
        <v>0.11888121819132645</v>
      </c>
      <c r="G13" s="539" t="s">
        <v>874</v>
      </c>
      <c r="H13" s="540" t="s">
        <v>1184</v>
      </c>
      <c r="I13" s="561">
        <f>I12*0.86/1000</f>
        <v>162.21330884075377</v>
      </c>
      <c r="J13" s="286">
        <f>J36</f>
        <v>197.97111899999999</v>
      </c>
      <c r="K13" s="562">
        <f>K36</f>
        <v>202.53266552073731</v>
      </c>
      <c r="L13" s="561">
        <f>L12*0.86/1000</f>
        <v>142.76417031373705</v>
      </c>
      <c r="M13" s="286">
        <f>M36</f>
        <v>156.422258</v>
      </c>
      <c r="N13" s="562">
        <f>N36</f>
        <v>166.39034306862749</v>
      </c>
      <c r="O13" s="561">
        <f>O12*0.86/1000</f>
        <v>129.82008494936088</v>
      </c>
      <c r="P13" s="286">
        <f>P36</f>
        <v>170.63786599999997</v>
      </c>
      <c r="Q13" s="562">
        <f>Q36</f>
        <v>191.57502747239263</v>
      </c>
      <c r="R13" s="561">
        <f>R12*0.86/1000</f>
        <v>55.193447062262059</v>
      </c>
      <c r="S13" s="286">
        <f>S36</f>
        <v>100.430424</v>
      </c>
      <c r="T13" s="562">
        <f>T36</f>
        <v>139.60963743050849</v>
      </c>
      <c r="U13" s="561">
        <f>U12*0.86/1000</f>
        <v>0</v>
      </c>
      <c r="V13" s="286">
        <f>V36</f>
        <v>7.6938219999999973</v>
      </c>
      <c r="W13" s="562">
        <f>W36</f>
        <v>0</v>
      </c>
      <c r="X13" s="561">
        <f>X12*0.86/1000</f>
        <v>0</v>
      </c>
      <c r="Y13" s="286">
        <f>Y36</f>
        <v>6.3552180000000007</v>
      </c>
      <c r="Z13" s="562">
        <f>Z36</f>
        <v>0</v>
      </c>
      <c r="AA13" s="561">
        <f>AA12*0.86/1000</f>
        <v>0</v>
      </c>
      <c r="AB13" s="286">
        <f>AB36</f>
        <v>9.4743610000000018</v>
      </c>
      <c r="AC13" s="562">
        <f>AC36</f>
        <v>0</v>
      </c>
      <c r="AD13" s="561">
        <f>AD12*0.86/1000</f>
        <v>0</v>
      </c>
      <c r="AE13" s="286">
        <f>AE36</f>
        <v>13.785654999999998</v>
      </c>
      <c r="AF13" s="562">
        <f>AF36</f>
        <v>0</v>
      </c>
      <c r="AG13" s="561">
        <f>AG12*0.86/1000</f>
        <v>0</v>
      </c>
      <c r="AH13" s="286">
        <f>AH36</f>
        <v>12.144729999999999</v>
      </c>
      <c r="AI13" s="562">
        <f>AI36</f>
        <v>0</v>
      </c>
      <c r="AJ13" s="561">
        <f>AJ12*0.86/1000</f>
        <v>40.10811963227809</v>
      </c>
      <c r="AK13" s="286">
        <f>AK36</f>
        <v>57.967082999999995</v>
      </c>
      <c r="AL13" s="562">
        <f>AL36</f>
        <v>37.176222563999993</v>
      </c>
      <c r="AM13" s="561">
        <f>AM12*0.86/1000</f>
        <v>111.96770488514626</v>
      </c>
      <c r="AN13" s="286">
        <f>AN36</f>
        <v>174.94893000000002</v>
      </c>
      <c r="AO13" s="562">
        <f>AO36</f>
        <v>177.08245353658543</v>
      </c>
      <c r="AP13" s="563">
        <f>AP12*0.86/1000</f>
        <v>147.26259012164937</v>
      </c>
      <c r="AQ13" s="286">
        <f>AQ36</f>
        <v>167.320087</v>
      </c>
      <c r="AR13" s="286">
        <f>AR36</f>
        <v>195.04741570285714</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3">
      <c r="A14" s="358" t="s">
        <v>874</v>
      </c>
      <c r="B14" s="359" t="s">
        <v>1181</v>
      </c>
      <c r="C14" s="564">
        <f>C12/$C$6</f>
        <v>0.6093691995199072</v>
      </c>
      <c r="D14" s="565">
        <f>D12/$D$6</f>
        <v>0.75322250046567896</v>
      </c>
      <c r="E14" s="566"/>
      <c r="F14" s="74">
        <f>E13/'Ввод исходных данных'!$G$45</f>
        <v>0.168444523928833</v>
      </c>
      <c r="G14" s="539"/>
      <c r="H14" s="540"/>
      <c r="I14" s="567">
        <f t="shared" ref="I14:AR14" si="20">I12/I$6</f>
        <v>0.80155791210675487</v>
      </c>
      <c r="J14" s="553">
        <f t="shared" si="20"/>
        <v>0.86289648511153183</v>
      </c>
      <c r="K14" s="568">
        <f t="shared" si="20"/>
        <v>0.86556929124236182</v>
      </c>
      <c r="L14" s="567">
        <f t="shared" si="20"/>
        <v>0.79646013093020107</v>
      </c>
      <c r="M14" s="553">
        <f t="shared" si="20"/>
        <v>0.83871201169894793</v>
      </c>
      <c r="N14" s="568">
        <f t="shared" si="20"/>
        <v>0.84689506244554325</v>
      </c>
      <c r="O14" s="567">
        <f t="shared" si="20"/>
        <v>0.76374049282194489</v>
      </c>
      <c r="P14" s="553">
        <f t="shared" si="20"/>
        <v>0.85614748888961012</v>
      </c>
      <c r="Q14" s="568">
        <f t="shared" si="20"/>
        <v>0.86982247770248033</v>
      </c>
      <c r="R14" s="567">
        <f t="shared" si="20"/>
        <v>0.65276602171916709</v>
      </c>
      <c r="S14" s="553">
        <f t="shared" si="20"/>
        <v>0.77263600930201493</v>
      </c>
      <c r="T14" s="568">
        <f t="shared" si="20"/>
        <v>0.82529482904969675</v>
      </c>
      <c r="U14" s="567">
        <f t="shared" si="20"/>
        <v>0</v>
      </c>
      <c r="V14" s="553">
        <f t="shared" si="20"/>
        <v>0.18495063366863562</v>
      </c>
      <c r="W14" s="568">
        <f t="shared" si="20"/>
        <v>0</v>
      </c>
      <c r="X14" s="567">
        <f t="shared" si="20"/>
        <v>0</v>
      </c>
      <c r="Y14" s="553">
        <f t="shared" si="20"/>
        <v>0.17000080879618062</v>
      </c>
      <c r="Z14" s="568">
        <f t="shared" si="20"/>
        <v>0</v>
      </c>
      <c r="AA14" s="567">
        <f t="shared" si="20"/>
        <v>0</v>
      </c>
      <c r="AB14" s="553">
        <f t="shared" si="20"/>
        <v>0.24629794366237356</v>
      </c>
      <c r="AC14" s="568">
        <f t="shared" si="20"/>
        <v>0</v>
      </c>
      <c r="AD14" s="567">
        <f t="shared" si="20"/>
        <v>0</v>
      </c>
      <c r="AE14" s="553">
        <f t="shared" si="20"/>
        <v>0.34556031883152727</v>
      </c>
      <c r="AF14" s="568">
        <f t="shared" si="20"/>
        <v>0</v>
      </c>
      <c r="AG14" s="567">
        <f t="shared" si="20"/>
        <v>0</v>
      </c>
      <c r="AH14" s="553">
        <f t="shared" si="20"/>
        <v>0.30405426590883011</v>
      </c>
      <c r="AI14" s="568">
        <f t="shared" si="20"/>
        <v>0</v>
      </c>
      <c r="AJ14" s="567">
        <f t="shared" si="20"/>
        <v>0.56993033162499063</v>
      </c>
      <c r="AK14" s="553">
        <f t="shared" si="20"/>
        <v>0.687052652019979</v>
      </c>
      <c r="AL14" s="568">
        <f t="shared" si="20"/>
        <v>0.58471755371372458</v>
      </c>
      <c r="AM14" s="567">
        <f t="shared" si="20"/>
        <v>0.74198992929367458</v>
      </c>
      <c r="AN14" s="553">
        <f t="shared" si="20"/>
        <v>0.85730023407115086</v>
      </c>
      <c r="AO14" s="568">
        <f t="shared" si="20"/>
        <v>0.8587767067825125</v>
      </c>
      <c r="AP14" s="552">
        <f t="shared" si="20"/>
        <v>0.78572810182540331</v>
      </c>
      <c r="AQ14" s="553">
        <f t="shared" si="20"/>
        <v>0.85786069405044019</v>
      </c>
      <c r="AR14" s="553">
        <f t="shared" si="20"/>
        <v>0.87555216930715862</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3">
      <c r="A15" s="569" t="s">
        <v>999</v>
      </c>
      <c r="B15" s="570" t="s">
        <v>842</v>
      </c>
      <c r="C15" s="580">
        <f>C85</f>
        <v>569252.94490440923</v>
      </c>
      <c r="D15" s="581">
        <f>D85</f>
        <v>392774.92352469225</v>
      </c>
      <c r="E15" s="582">
        <f>D85</f>
        <v>392774.92352469225</v>
      </c>
      <c r="F15" s="74">
        <f>E13/C13-1</f>
        <v>0.41691451763002441</v>
      </c>
      <c r="G15" s="574" t="s">
        <v>999</v>
      </c>
      <c r="H15" s="575" t="s">
        <v>842</v>
      </c>
      <c r="I15" s="576">
        <f t="shared" ref="I15:J15" si="21">I85</f>
        <v>43636.677821930076</v>
      </c>
      <c r="J15" s="305">
        <f t="shared" si="21"/>
        <v>34686.336602999996</v>
      </c>
      <c r="K15" s="583">
        <f>J15</f>
        <v>34686.336602999996</v>
      </c>
      <c r="L15" s="576">
        <f>K85</f>
        <v>39413.773516581998</v>
      </c>
      <c r="M15" s="305">
        <f>L85</f>
        <v>33577.835945999999</v>
      </c>
      <c r="N15" s="584">
        <f>M15</f>
        <v>33577.835945999999</v>
      </c>
      <c r="O15" s="578">
        <f>M85</f>
        <v>43636.677821930076</v>
      </c>
      <c r="P15" s="306">
        <f>N85</f>
        <v>31667.482842000001</v>
      </c>
      <c r="Q15" s="583">
        <f>P15</f>
        <v>31667.482842000001</v>
      </c>
      <c r="R15" s="578">
        <f>O85</f>
        <v>31095.931703017621</v>
      </c>
      <c r="S15" s="306">
        <f>P85</f>
        <v>33051.966887999995</v>
      </c>
      <c r="T15" s="577">
        <f>S15</f>
        <v>33051.966887999995</v>
      </c>
      <c r="U15" s="576">
        <f>Q85</f>
        <v>32132.462759784878</v>
      </c>
      <c r="V15" s="305">
        <f>R85</f>
        <v>38835.103014</v>
      </c>
      <c r="W15" s="583">
        <f>V15</f>
        <v>38835.103014</v>
      </c>
      <c r="X15" s="576">
        <f>S85</f>
        <v>31095.931703017621</v>
      </c>
      <c r="Y15" s="305">
        <f>T85</f>
        <v>34647.842465999995</v>
      </c>
      <c r="Z15" s="583">
        <f>Y15</f>
        <v>34647.842465999995</v>
      </c>
      <c r="AA15" s="576">
        <f>U85</f>
        <v>17621.027965043319</v>
      </c>
      <c r="AB15" s="305">
        <f>V85</f>
        <v>32898.524157</v>
      </c>
      <c r="AC15" s="583">
        <f>AB15</f>
        <v>32898.524157</v>
      </c>
      <c r="AD15" s="576">
        <f>W85</f>
        <v>32132.462759784878</v>
      </c>
      <c r="AE15" s="305">
        <f>X85</f>
        <v>29126.573235</v>
      </c>
      <c r="AF15" s="577">
        <f>AE15</f>
        <v>29126.573235</v>
      </c>
      <c r="AG15" s="578">
        <f>Y85</f>
        <v>38006.138748132646</v>
      </c>
      <c r="AH15" s="306">
        <f>Z85</f>
        <v>31034.969010000001</v>
      </c>
      <c r="AI15" s="583">
        <f>AH15</f>
        <v>31034.969010000001</v>
      </c>
      <c r="AJ15" s="578">
        <f>AA85</f>
        <v>32132.462759784878</v>
      </c>
      <c r="AK15" s="306">
        <f>AB85</f>
        <v>29777.355471000003</v>
      </c>
      <c r="AL15" s="583">
        <f>AK15</f>
        <v>29777.355471000003</v>
      </c>
      <c r="AM15" s="578">
        <f>AC85</f>
        <v>42229.043053480716</v>
      </c>
      <c r="AN15" s="306">
        <f>AD85</f>
        <v>31260.358409999993</v>
      </c>
      <c r="AO15" s="583">
        <f>AN15</f>
        <v>31260.358409999993</v>
      </c>
      <c r="AP15" s="585">
        <f>AE85</f>
        <v>43636.677821930076</v>
      </c>
      <c r="AQ15" s="305">
        <f>AF85</f>
        <v>30975.240818999999</v>
      </c>
      <c r="AR15" s="306">
        <f>AQ15</f>
        <v>30975.240818999999</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3">
      <c r="A16" s="358" t="s">
        <v>874</v>
      </c>
      <c r="B16" s="359" t="s">
        <v>1184</v>
      </c>
      <c r="C16" s="558">
        <f>C15*0.86/1000</f>
        <v>489.55753261779188</v>
      </c>
      <c r="D16" s="664">
        <f>D86</f>
        <v>337.72564361538457</v>
      </c>
      <c r="E16" s="1268">
        <f>D86</f>
        <v>337.72564361538457</v>
      </c>
      <c r="F16" s="74"/>
      <c r="G16" s="539" t="s">
        <v>874</v>
      </c>
      <c r="H16" s="540" t="s">
        <v>1184</v>
      </c>
      <c r="I16" s="561">
        <f>I15*0.86/1000</f>
        <v>37.527542926859866</v>
      </c>
      <c r="J16" s="95">
        <f>J86</f>
        <v>29.824880999999994</v>
      </c>
      <c r="K16" s="586">
        <f>J16</f>
        <v>29.824880999999994</v>
      </c>
      <c r="L16" s="561">
        <f>L15*0.86/1000</f>
        <v>33.895845224260519</v>
      </c>
      <c r="M16" s="95">
        <f>L86</f>
        <v>28.871741999999998</v>
      </c>
      <c r="N16" s="587">
        <f>M16</f>
        <v>28.871741999999998</v>
      </c>
      <c r="O16" s="561">
        <f>O15*0.86/1000</f>
        <v>37.527542926859866</v>
      </c>
      <c r="P16" s="95">
        <f>N86</f>
        <v>27.229134000000002</v>
      </c>
      <c r="Q16" s="586">
        <f>P16</f>
        <v>27.229134000000002</v>
      </c>
      <c r="R16" s="561">
        <f>R15*0.86/1000</f>
        <v>26.742501264595155</v>
      </c>
      <c r="S16" s="95">
        <f>P86</f>
        <v>28.419575999999996</v>
      </c>
      <c r="T16" s="586">
        <f>S16</f>
        <v>28.419575999999996</v>
      </c>
      <c r="U16" s="561">
        <f>U15*0.86/1000</f>
        <v>27.633917973414995</v>
      </c>
      <c r="V16" s="95">
        <f>R86</f>
        <v>33.392178000000001</v>
      </c>
      <c r="W16" s="586">
        <f>V16</f>
        <v>33.392178000000001</v>
      </c>
      <c r="X16" s="561">
        <f>X15*0.86/1000</f>
        <v>26.742501264595155</v>
      </c>
      <c r="Y16" s="95">
        <f>T86</f>
        <v>29.791781999999998</v>
      </c>
      <c r="Z16" s="586">
        <f>Y16</f>
        <v>29.791781999999998</v>
      </c>
      <c r="AA16" s="561">
        <f>AA15*0.86/1000</f>
        <v>15.154084049937254</v>
      </c>
      <c r="AB16" s="95">
        <f>V86</f>
        <v>28.287638999999999</v>
      </c>
      <c r="AC16" s="586">
        <f>AB16</f>
        <v>28.287638999999999</v>
      </c>
      <c r="AD16" s="561">
        <f>AD15*0.86/1000</f>
        <v>27.633917973414995</v>
      </c>
      <c r="AE16" s="95">
        <f>X86</f>
        <v>25.044345</v>
      </c>
      <c r="AF16" s="586">
        <f>AE16</f>
        <v>25.044345</v>
      </c>
      <c r="AG16" s="561">
        <f>AG15*0.86/1000</f>
        <v>32.685279323394077</v>
      </c>
      <c r="AH16" s="95">
        <f>Z86</f>
        <v>26.685269999999999</v>
      </c>
      <c r="AI16" s="586">
        <f>AH16</f>
        <v>26.685269999999999</v>
      </c>
      <c r="AJ16" s="561">
        <f>AJ15*0.86/1000</f>
        <v>27.633917973414995</v>
      </c>
      <c r="AK16" s="95">
        <f>AB86</f>
        <v>25.603917000000003</v>
      </c>
      <c r="AL16" s="586">
        <f>AK16</f>
        <v>25.603917000000003</v>
      </c>
      <c r="AM16" s="561">
        <f>AM15*0.86/1000</f>
        <v>36.316977025993417</v>
      </c>
      <c r="AN16" s="95">
        <f>AD86</f>
        <v>26.879069999999995</v>
      </c>
      <c r="AO16" s="586">
        <f>AN16</f>
        <v>26.879069999999995</v>
      </c>
      <c r="AP16" s="563">
        <f>AP15*0.86/1000</f>
        <v>37.527542926859866</v>
      </c>
      <c r="AQ16" s="95">
        <f>AF86</f>
        <v>26.633913</v>
      </c>
      <c r="AR16" s="95">
        <f>AQ16</f>
        <v>26.633913</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5">
      <c r="A17" s="385" t="s">
        <v>874</v>
      </c>
      <c r="B17" s="386" t="s">
        <v>1181</v>
      </c>
      <c r="C17" s="588">
        <f>C15/$C$6</f>
        <v>0.36717288024047101</v>
      </c>
      <c r="D17" s="589">
        <f>D15/$D$6</f>
        <v>0.23683555957728908</v>
      </c>
      <c r="E17" s="590"/>
      <c r="F17" s="74"/>
      <c r="G17" s="544"/>
      <c r="H17" s="545"/>
      <c r="I17" s="546">
        <f t="shared" ref="I17:AR17" si="22">I15/I$6</f>
        <v>0.18543792226370709</v>
      </c>
      <c r="J17" s="547">
        <f t="shared" si="22"/>
        <v>0.12999767397268541</v>
      </c>
      <c r="K17" s="548">
        <f t="shared" si="22"/>
        <v>0.1274633948167464</v>
      </c>
      <c r="L17" s="546">
        <f t="shared" si="22"/>
        <v>0.18909989296317636</v>
      </c>
      <c r="M17" s="547">
        <f t="shared" si="22"/>
        <v>0.15480582574171131</v>
      </c>
      <c r="N17" s="591">
        <f t="shared" si="22"/>
        <v>0.14695165171885419</v>
      </c>
      <c r="O17" s="546">
        <f t="shared" si="22"/>
        <v>0.22077711735080596</v>
      </c>
      <c r="P17" s="547">
        <f t="shared" si="22"/>
        <v>0.13661771121035179</v>
      </c>
      <c r="Q17" s="548">
        <f t="shared" si="22"/>
        <v>0.12363048103952884</v>
      </c>
      <c r="R17" s="546">
        <f t="shared" si="22"/>
        <v>0.31628023054289972</v>
      </c>
      <c r="S17" s="547">
        <f t="shared" si="22"/>
        <v>0.21863880398130467</v>
      </c>
      <c r="T17" s="548">
        <f t="shared" si="22"/>
        <v>0.1680007881136393</v>
      </c>
      <c r="U17" s="546">
        <f t="shared" si="22"/>
        <v>0.91304696901764626</v>
      </c>
      <c r="V17" s="547">
        <f t="shared" si="22"/>
        <v>0.80270956108366898</v>
      </c>
      <c r="W17" s="548">
        <f t="shared" si="22"/>
        <v>0.98486005172516311</v>
      </c>
      <c r="X17" s="546">
        <f t="shared" si="22"/>
        <v>0.91085622469556049</v>
      </c>
      <c r="Y17" s="547">
        <f t="shared" si="22"/>
        <v>0.79692420236087791</v>
      </c>
      <c r="Z17" s="548">
        <f t="shared" si="22"/>
        <v>0.9601505770204789</v>
      </c>
      <c r="AA17" s="546">
        <f t="shared" si="22"/>
        <v>0.86183556917398074</v>
      </c>
      <c r="AB17" s="547">
        <f t="shared" si="22"/>
        <v>0.7353727936652994</v>
      </c>
      <c r="AC17" s="548">
        <f t="shared" si="22"/>
        <v>0.975681023398832</v>
      </c>
      <c r="AD17" s="546">
        <f t="shared" si="22"/>
        <v>0.91304696901764626</v>
      </c>
      <c r="AE17" s="547">
        <f t="shared" si="22"/>
        <v>0.62777806662989655</v>
      </c>
      <c r="AF17" s="548">
        <f t="shared" si="22"/>
        <v>0.95926039434073873</v>
      </c>
      <c r="AG17" s="546">
        <f t="shared" si="22"/>
        <v>0.92586256736242356</v>
      </c>
      <c r="AH17" s="547">
        <f t="shared" si="22"/>
        <v>0.66808979536217994</v>
      </c>
      <c r="AI17" s="548">
        <f t="shared" si="22"/>
        <v>0.95997397876809065</v>
      </c>
      <c r="AJ17" s="546">
        <f t="shared" si="22"/>
        <v>0.39267380717622663</v>
      </c>
      <c r="AK17" s="547">
        <f t="shared" si="22"/>
        <v>0.30346945484473364</v>
      </c>
      <c r="AL17" s="548">
        <f t="shared" si="22"/>
        <v>0.40270524225413479</v>
      </c>
      <c r="AM17" s="546">
        <f t="shared" si="22"/>
        <v>0.24066610317071571</v>
      </c>
      <c r="AN17" s="547">
        <f t="shared" si="22"/>
        <v>0.13171519827308942</v>
      </c>
      <c r="AO17" s="548">
        <f t="shared" si="22"/>
        <v>0.13035237966819579</v>
      </c>
      <c r="AP17" s="549">
        <f t="shared" si="22"/>
        <v>0.20023038468721105</v>
      </c>
      <c r="AQ17" s="550">
        <f t="shared" si="22"/>
        <v>0.13655376052642765</v>
      </c>
      <c r="AR17" s="550">
        <f t="shared" si="22"/>
        <v>0.11955749436749159</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3">
      <c r="A18" s="522" t="s">
        <v>1188</v>
      </c>
      <c r="B18" s="592" t="s">
        <v>842</v>
      </c>
      <c r="C18" s="593">
        <f>C100</f>
        <v>36368.399999999994</v>
      </c>
      <c r="D18" s="594">
        <f>D100</f>
        <v>16488</v>
      </c>
      <c r="E18" s="595">
        <f>D100</f>
        <v>16488</v>
      </c>
      <c r="F18" s="74"/>
      <c r="G18" s="527" t="s">
        <v>1186</v>
      </c>
      <c r="H18" s="528" t="s">
        <v>842</v>
      </c>
      <c r="I18" s="327">
        <f>I100</f>
        <v>3060.1000000000004</v>
      </c>
      <c r="J18" s="596">
        <f>J100</f>
        <v>1896</v>
      </c>
      <c r="K18" s="597">
        <f>J18</f>
        <v>1896</v>
      </c>
      <c r="L18" s="327">
        <f>K100</f>
        <v>3009.7000000000003</v>
      </c>
      <c r="M18" s="596">
        <f>L100</f>
        <v>1405.9999999999998</v>
      </c>
      <c r="N18" s="597">
        <f>M18</f>
        <v>1405.9999999999998</v>
      </c>
      <c r="O18" s="327">
        <f>M100</f>
        <v>3060.1000000000004</v>
      </c>
      <c r="P18" s="596">
        <f>N100</f>
        <v>1677</v>
      </c>
      <c r="Q18" s="597">
        <f>P18</f>
        <v>1677</v>
      </c>
      <c r="R18" s="327">
        <f>O100</f>
        <v>3043.3</v>
      </c>
      <c r="S18" s="596">
        <f>P100</f>
        <v>1319</v>
      </c>
      <c r="T18" s="597">
        <f>S18</f>
        <v>1319</v>
      </c>
      <c r="U18" s="327">
        <f>Q100</f>
        <v>3060.1000000000004</v>
      </c>
      <c r="V18" s="596">
        <f>R100</f>
        <v>597</v>
      </c>
      <c r="W18" s="597">
        <f>V18</f>
        <v>597</v>
      </c>
      <c r="X18" s="327">
        <f>S100</f>
        <v>3043.3</v>
      </c>
      <c r="Y18" s="596">
        <f>T100</f>
        <v>1438</v>
      </c>
      <c r="Z18" s="597">
        <f>Y18</f>
        <v>1438</v>
      </c>
      <c r="AA18" s="327">
        <f>U100</f>
        <v>2824.9</v>
      </c>
      <c r="AB18" s="596">
        <f>V100</f>
        <v>820</v>
      </c>
      <c r="AC18" s="597">
        <f>AB18</f>
        <v>820</v>
      </c>
      <c r="AD18" s="327">
        <f>W100</f>
        <v>3060.1000000000004</v>
      </c>
      <c r="AE18" s="596">
        <f>X100</f>
        <v>1237</v>
      </c>
      <c r="AF18" s="597">
        <f>AE18</f>
        <v>1237</v>
      </c>
      <c r="AG18" s="327">
        <f>Y100</f>
        <v>3043.3</v>
      </c>
      <c r="AH18" s="596">
        <f>Z100</f>
        <v>1294</v>
      </c>
      <c r="AI18" s="597">
        <f>AH18</f>
        <v>1294</v>
      </c>
      <c r="AJ18" s="327">
        <f>AA100</f>
        <v>3060.1000000000004</v>
      </c>
      <c r="AK18" s="596">
        <f>AB100</f>
        <v>930</v>
      </c>
      <c r="AL18" s="597">
        <f>AK18</f>
        <v>930</v>
      </c>
      <c r="AM18" s="327">
        <f>AC100</f>
        <v>3043.3</v>
      </c>
      <c r="AN18" s="596">
        <f>AD100</f>
        <v>2606.9999999999995</v>
      </c>
      <c r="AO18" s="597">
        <f>AN18</f>
        <v>2606.9999999999995</v>
      </c>
      <c r="AP18" s="327">
        <f>AE100</f>
        <v>3060.1000000000004</v>
      </c>
      <c r="AQ18" s="596">
        <f>AF100</f>
        <v>1267</v>
      </c>
      <c r="AR18" s="597">
        <f>AQ18</f>
        <v>1267</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5">
      <c r="A19" s="385" t="s">
        <v>874</v>
      </c>
      <c r="B19" s="598" t="s">
        <v>1181</v>
      </c>
      <c r="C19" s="588">
        <f>C18/$C$6</f>
        <v>2.3457920239621954E-2</v>
      </c>
      <c r="D19" s="589">
        <f>D18/$D$6</f>
        <v>9.9419399570320408E-3</v>
      </c>
      <c r="E19" s="599">
        <f>E18/$E$6</f>
        <v>9.4331006425949701E-3</v>
      </c>
      <c r="F19" s="74"/>
      <c r="G19" s="600"/>
      <c r="H19" s="545"/>
      <c r="I19" s="546">
        <f>I18/$C$6</f>
        <v>1.9737899309638907E-3</v>
      </c>
      <c r="J19" s="601"/>
      <c r="K19" s="602"/>
      <c r="L19" s="546">
        <f>L18/$C$6</f>
        <v>1.9412815121146439E-3</v>
      </c>
      <c r="M19" s="601"/>
      <c r="N19" s="602"/>
      <c r="O19" s="546">
        <f>O18/$C$6</f>
        <v>1.9737899309638907E-3</v>
      </c>
      <c r="P19" s="601"/>
      <c r="Q19" s="602"/>
      <c r="R19" s="546">
        <f>R18/$C$6</f>
        <v>1.9629537913474749E-3</v>
      </c>
      <c r="S19" s="601"/>
      <c r="T19" s="602"/>
      <c r="U19" s="546">
        <f>U18/$C$6</f>
        <v>1.9737899309638907E-3</v>
      </c>
      <c r="V19" s="601"/>
      <c r="W19" s="602"/>
      <c r="X19" s="546">
        <f>X18/$C$6</f>
        <v>1.9629537913474749E-3</v>
      </c>
      <c r="Y19" s="601"/>
      <c r="Z19" s="602"/>
      <c r="AA19" s="546">
        <f>AA18/$C$6</f>
        <v>1.8220839763340723E-3</v>
      </c>
      <c r="AB19" s="601"/>
      <c r="AC19" s="602"/>
      <c r="AD19" s="546">
        <f>AD18/$C$6</f>
        <v>1.9737899309638907E-3</v>
      </c>
      <c r="AE19" s="601"/>
      <c r="AF19" s="602"/>
      <c r="AG19" s="546">
        <f>AG18/$C$6</f>
        <v>1.9629537913474749E-3</v>
      </c>
      <c r="AH19" s="601"/>
      <c r="AI19" s="602"/>
      <c r="AJ19" s="546">
        <f>AJ18/$C$6</f>
        <v>1.9737899309638907E-3</v>
      </c>
      <c r="AK19" s="601"/>
      <c r="AL19" s="602"/>
      <c r="AM19" s="546">
        <f>AM18/$C$6</f>
        <v>1.9629537913474749E-3</v>
      </c>
      <c r="AN19" s="601"/>
      <c r="AO19" s="602"/>
      <c r="AP19" s="546">
        <f>AP18/$C$6</f>
        <v>1.9737899309638907E-3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3">
      <c r="A20" s="603" t="s">
        <v>1187</v>
      </c>
      <c r="B20" s="604" t="s">
        <v>842</v>
      </c>
      <c r="C20" s="605"/>
      <c r="D20" s="572">
        <f>D6-C6</f>
        <v>108061.22380861267</v>
      </c>
      <c r="E20" s="606">
        <f>E6-C6</f>
        <v>197520.01668123063</v>
      </c>
      <c r="F20" s="74"/>
      <c r="G20" s="344" t="s">
        <v>1187</v>
      </c>
      <c r="H20" s="326" t="s">
        <v>842</v>
      </c>
      <c r="I20" s="373"/>
      <c r="J20" s="607">
        <f>J6-I6</f>
        <v>31505.843619053863</v>
      </c>
      <c r="K20" s="608">
        <f>K6-I6</f>
        <v>36810.922222671361</v>
      </c>
      <c r="L20" s="373"/>
      <c r="M20" s="607">
        <f>M6-L6</f>
        <v>8474.5992813981138</v>
      </c>
      <c r="N20" s="608">
        <f>N6-L6</f>
        <v>20067.482216211909</v>
      </c>
      <c r="O20" s="373"/>
      <c r="P20" s="607">
        <f>P6-O6</f>
        <v>34145.956027650274</v>
      </c>
      <c r="Q20" s="608">
        <f>Q6-O6</f>
        <v>58495.874820042925</v>
      </c>
      <c r="R20" s="373"/>
      <c r="S20" s="607">
        <f>S6-R6</f>
        <v>52853.891480398583</v>
      </c>
      <c r="T20" s="609">
        <f>T6-R6</f>
        <v>98419.316700079959</v>
      </c>
      <c r="U20" s="373"/>
      <c r="V20" s="610">
        <f>V6-U6</f>
        <v>13187.455240215117</v>
      </c>
      <c r="W20" s="608">
        <f>W6-U6</f>
        <v>4239.5402542151205</v>
      </c>
      <c r="X20" s="611"/>
      <c r="Y20" s="607">
        <f>Y6-X6</f>
        <v>9337.7292969823757</v>
      </c>
      <c r="Z20" s="608">
        <f>Z6-X6</f>
        <v>1946.6107629823746</v>
      </c>
      <c r="AA20" s="373"/>
      <c r="AB20" s="607">
        <f>AB6-AA6</f>
        <v>24291.278034956686</v>
      </c>
      <c r="AC20" s="612">
        <f>AC6-AA6</f>
        <v>13272.59619195668</v>
      </c>
      <c r="AD20" s="373"/>
      <c r="AE20" s="607">
        <f>AE6-AD6</f>
        <v>11203.727240215114</v>
      </c>
      <c r="AF20" s="612">
        <f>AF6-AD6</f>
        <v>-4828.9895247848799</v>
      </c>
      <c r="AG20" s="373"/>
      <c r="AH20" s="610">
        <f>AH6-AG6</f>
        <v>5403.8512518673524</v>
      </c>
      <c r="AI20" s="608">
        <f>AI6-AG6</f>
        <v>-8720.4697381326478</v>
      </c>
      <c r="AJ20" s="373"/>
      <c r="AK20" s="610">
        <f>AK6-AJ6</f>
        <v>16293.161830589437</v>
      </c>
      <c r="AL20" s="608">
        <f>AL6-AJ6</f>
        <v>-7886.608856478575</v>
      </c>
      <c r="AM20" s="374"/>
      <c r="AN20" s="607">
        <f>AN6-AM6</f>
        <v>61865.615266116685</v>
      </c>
      <c r="AO20" s="608">
        <f>AO6-AM6</f>
        <v>64346.903139165515</v>
      </c>
      <c r="AP20" s="373"/>
      <c r="AQ20" s="607">
        <f>AQ6-AP6</f>
        <v>8903.1542691753129</v>
      </c>
      <c r="AR20" s="608">
        <f>AR6-AP6</f>
        <v>41150.03755059815</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3">
      <c r="A21" s="358" t="s">
        <v>874</v>
      </c>
      <c r="B21" s="359" t="s">
        <v>1180</v>
      </c>
      <c r="C21" s="378"/>
      <c r="D21" s="613">
        <f>D20*0.123/1000</f>
        <v>13.29153052845936</v>
      </c>
      <c r="E21" s="613">
        <f>E20*0.123/1000</f>
        <v>24.294962051791369</v>
      </c>
      <c r="F21" s="74"/>
      <c r="G21" s="539" t="s">
        <v>874</v>
      </c>
      <c r="H21" s="540" t="s">
        <v>1180</v>
      </c>
      <c r="I21" s="614"/>
      <c r="J21" s="313">
        <f>J20*0.123/1000</f>
        <v>3.8752187651436252</v>
      </c>
      <c r="K21" s="615">
        <f>K20*0.123/1000</f>
        <v>4.5277434333885775</v>
      </c>
      <c r="L21" s="614"/>
      <c r="M21" s="313">
        <f>M20*0.123/1000</f>
        <v>1.0423757116119681</v>
      </c>
      <c r="N21" s="615">
        <f>N20*0.123/1000</f>
        <v>2.468300312594065</v>
      </c>
      <c r="O21" s="614"/>
      <c r="P21" s="313">
        <f>P20*0.123/1000</f>
        <v>4.1999525914009839</v>
      </c>
      <c r="Q21" s="615">
        <f>Q20*0.123/1000</f>
        <v>7.1949926028652795</v>
      </c>
      <c r="R21" s="614"/>
      <c r="S21" s="313">
        <f>S20*0.123/1000</f>
        <v>6.5010286520890261</v>
      </c>
      <c r="T21" s="616">
        <f>T20*0.123/1000</f>
        <v>12.105575954109835</v>
      </c>
      <c r="U21" s="614"/>
      <c r="V21" s="313">
        <f>V20*0.123/1000</f>
        <v>1.6220569945464591</v>
      </c>
      <c r="W21" s="615">
        <f>W20*0.123/1000</f>
        <v>0.52146345126845983</v>
      </c>
      <c r="X21" s="617"/>
      <c r="Y21" s="313">
        <f>Y20*0.123/1000</f>
        <v>1.1485407035288322</v>
      </c>
      <c r="Z21" s="615">
        <f>Z20*0.123/1000</f>
        <v>0.23943312384683207</v>
      </c>
      <c r="AA21" s="614"/>
      <c r="AB21" s="313">
        <f>AB20*0.123/1000</f>
        <v>2.987827198299672</v>
      </c>
      <c r="AC21" s="615">
        <f>AC20*0.123/1000</f>
        <v>1.6325293316106715</v>
      </c>
      <c r="AD21" s="614"/>
      <c r="AE21" s="313">
        <f>AE20*0.123/1000</f>
        <v>1.378058450546459</v>
      </c>
      <c r="AF21" s="615">
        <f>AF20*0.123/1000</f>
        <v>-0.59396571154854017</v>
      </c>
      <c r="AG21" s="614"/>
      <c r="AH21" s="313">
        <f>AH20*0.123/1000</f>
        <v>0.66467370397968428</v>
      </c>
      <c r="AI21" s="615">
        <f>AI20*0.123/1000</f>
        <v>-1.0726177777903156</v>
      </c>
      <c r="AJ21" s="614"/>
      <c r="AK21" s="313">
        <f>AK20*0.123/1000</f>
        <v>2.0040589051625006</v>
      </c>
      <c r="AL21" s="615">
        <f>AL20*0.123/1000</f>
        <v>-0.97005288934686473</v>
      </c>
      <c r="AM21" s="618"/>
      <c r="AN21" s="313">
        <f>AN20*0.123/1000</f>
        <v>7.609470677732352</v>
      </c>
      <c r="AO21" s="615">
        <f>AO20*0.123/1000</f>
        <v>7.9146690861173585</v>
      </c>
      <c r="AP21" s="614"/>
      <c r="AQ21" s="313">
        <f>AQ20*0.123/1000</f>
        <v>1.0950879751085636</v>
      </c>
      <c r="AR21" s="619">
        <f>AR20*0.123/1000</f>
        <v>5.0614546187235732</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 thickBot="1" x14ac:dyDescent="0.35">
      <c r="A22" s="385" t="s">
        <v>874</v>
      </c>
      <c r="B22" s="359" t="s">
        <v>1181</v>
      </c>
      <c r="C22" s="620"/>
      <c r="D22" s="621">
        <f>(D20/C6)*100</f>
        <v>6.9700387399455943</v>
      </c>
      <c r="E22" s="621">
        <f>(E20/C6)*100</f>
        <v>12.740205224967575</v>
      </c>
      <c r="F22" s="74"/>
      <c r="G22" s="544" t="s">
        <v>874</v>
      </c>
      <c r="H22" s="545" t="s">
        <v>1181</v>
      </c>
      <c r="I22" s="622"/>
      <c r="J22" s="623">
        <f>(J20/I6)*100</f>
        <v>13.388686929201729</v>
      </c>
      <c r="K22" s="624">
        <f>(K20/I6)*100</f>
        <v>15.643127007603109</v>
      </c>
      <c r="L22" s="622"/>
      <c r="M22" s="623">
        <f>(M20/L6)*100</f>
        <v>4.0659537873073184</v>
      </c>
      <c r="N22" s="624">
        <f>(N20/L6)*100</f>
        <v>9.6280015856122034</v>
      </c>
      <c r="O22" s="622"/>
      <c r="P22" s="623">
        <f>(P20/O6)*100</f>
        <v>17.275938768151086</v>
      </c>
      <c r="Q22" s="624">
        <f>(Q20/O6)*100</f>
        <v>29.595632079012962</v>
      </c>
      <c r="R22" s="622"/>
      <c r="S22" s="623">
        <f>(S20/R6)*100</f>
        <v>53.758289483532806</v>
      </c>
      <c r="T22" s="625">
        <f>(T20/R6)*100</f>
        <v>100.10339768258241</v>
      </c>
      <c r="U22" s="620"/>
      <c r="V22" s="621">
        <f>(V20/U6)*100</f>
        <v>37.472278817059149</v>
      </c>
      <c r="W22" s="626">
        <f>(W20/U6)*100</f>
        <v>12.046693737972708</v>
      </c>
      <c r="X22" s="627"/>
      <c r="Y22" s="628">
        <f>(Y20/X6)*100</f>
        <v>27.351902287118545</v>
      </c>
      <c r="Z22" s="629">
        <f>(Z20/X6)*100</f>
        <v>5.7019758965762275</v>
      </c>
      <c r="AA22" s="622"/>
      <c r="AB22" s="623">
        <f>(AB20/AA6)*100</f>
        <v>118.80741278404096</v>
      </c>
      <c r="AC22" s="624">
        <f>(AC20/AA6)*100</f>
        <v>64.915596957247516</v>
      </c>
      <c r="AD22" s="622"/>
      <c r="AE22" s="623">
        <f>(AE20/AD6)*100</f>
        <v>31.835496939193636</v>
      </c>
      <c r="AF22" s="624">
        <f>(AF20/AD6)*100</f>
        <v>-13.721619416426945</v>
      </c>
      <c r="AG22" s="622"/>
      <c r="AH22" s="623">
        <f>(AH20/AG6)*100</f>
        <v>13.164251245976356</v>
      </c>
      <c r="AI22" s="624">
        <f>(AI20/AG6)*100</f>
        <v>-21.2438220937414</v>
      </c>
      <c r="AJ22" s="622"/>
      <c r="AK22" s="623">
        <f>(AK20/AJ6)*100</f>
        <v>19.911010042352462</v>
      </c>
      <c r="AL22" s="624">
        <f>(AL20/AJ6)*100</f>
        <v>-9.6378069385302307</v>
      </c>
      <c r="AM22" s="630"/>
      <c r="AN22" s="628">
        <f>(AN20/AM6)*100</f>
        <v>35.257622408111438</v>
      </c>
      <c r="AO22" s="629">
        <f>(AO20/AM6)*100</f>
        <v>36.671724741652703</v>
      </c>
      <c r="AP22" s="622"/>
      <c r="AQ22" s="623">
        <f>(AQ20/AP6)*100</f>
        <v>4.0852835120061606</v>
      </c>
      <c r="AR22" s="624">
        <f>(AR20/AP6)*100</f>
        <v>18.882023700962417</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3">
      <c r="A23" s="631" t="s">
        <v>1189</v>
      </c>
      <c r="B23" s="523" t="s">
        <v>1346</v>
      </c>
      <c r="C23" s="524">
        <f>C6/('Ввод исходных данных'!$G$45+'Ввод исходных данных'!$D$23)</f>
        <v>226.84765614997477</v>
      </c>
      <c r="D23" s="632">
        <f>D6/('Ввод исходных данных'!$G$45+'Ввод исходных данных'!$D$23)</f>
        <v>242.65902566428659</v>
      </c>
      <c r="E23" s="556">
        <f>E6/('Ввод исходных данных'!$G$45+'Ввод исходных данных'!$D$23)</f>
        <v>255.74851309151035</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 thickBot="1" x14ac:dyDescent="0.35">
      <c r="A24" s="635" t="s">
        <v>874</v>
      </c>
      <c r="B24" s="386" t="s">
        <v>1191</v>
      </c>
      <c r="C24" s="636">
        <f>C7*1000/('Ввод исходных данных'!$G$45+'Ввод исходных данных'!$G$23)</f>
        <v>27.902261706446897</v>
      </c>
      <c r="D24" s="637">
        <f>0.123*D23</f>
        <v>29.847060156707251</v>
      </c>
      <c r="E24" s="638">
        <f>0.123*E23</f>
        <v>31.457067110255771</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3">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3">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3">
      <c r="A27" s="74"/>
      <c r="B27" s="317">
        <f>C12</f>
        <v>944746.27628697851</v>
      </c>
      <c r="C27" s="317">
        <f>C15</f>
        <v>569252.94490440923</v>
      </c>
      <c r="D27" s="317">
        <f>C18</f>
        <v>36368.399999999994</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3">
      <c r="A28" s="74"/>
      <c r="B28" s="317">
        <f>D12</f>
        <v>1249165.921475308</v>
      </c>
      <c r="C28" s="317">
        <f>D15</f>
        <v>392774.92352469225</v>
      </c>
      <c r="D28" s="317">
        <f>D18</f>
        <v>16488</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3">
      <c r="A29" s="74"/>
      <c r="B29" s="317">
        <f>E12</f>
        <v>1338624.714347926</v>
      </c>
      <c r="C29" s="317">
        <f>E15</f>
        <v>392774.92352469225</v>
      </c>
      <c r="D29" s="317">
        <f>E18</f>
        <v>16488</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3">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3">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5">
      <c r="A32" s="1798" t="s">
        <v>1192</v>
      </c>
      <c r="B32" s="1798"/>
      <c r="C32" s="1798"/>
      <c r="D32" s="1798"/>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3">
      <c r="A33" s="1768" t="s">
        <v>834</v>
      </c>
      <c r="B33" s="1778" t="s">
        <v>1174</v>
      </c>
      <c r="C33" s="1776" t="s">
        <v>1175</v>
      </c>
      <c r="D33" s="1774" t="s">
        <v>1176</v>
      </c>
      <c r="E33" s="1772" t="s">
        <v>1177</v>
      </c>
      <c r="F33" s="74"/>
      <c r="G33" s="1770" t="s">
        <v>834</v>
      </c>
      <c r="H33" s="1764" t="s">
        <v>1174</v>
      </c>
      <c r="I33" s="1805" t="s">
        <v>488</v>
      </c>
      <c r="J33" s="1806"/>
      <c r="K33" s="1807"/>
      <c r="L33" s="1805" t="s">
        <v>489</v>
      </c>
      <c r="M33" s="1806"/>
      <c r="N33" s="1807"/>
      <c r="O33" s="1805" t="s">
        <v>490</v>
      </c>
      <c r="P33" s="1806"/>
      <c r="Q33" s="1807"/>
      <c r="R33" s="1805" t="s">
        <v>491</v>
      </c>
      <c r="S33" s="1806"/>
      <c r="T33" s="1807"/>
      <c r="U33" s="1805" t="s">
        <v>805</v>
      </c>
      <c r="V33" s="1806"/>
      <c r="W33" s="1807"/>
      <c r="X33" s="1805" t="s">
        <v>806</v>
      </c>
      <c r="Y33" s="1806"/>
      <c r="Z33" s="1807"/>
      <c r="AA33" s="1805" t="s">
        <v>807</v>
      </c>
      <c r="AB33" s="1806"/>
      <c r="AC33" s="1807"/>
      <c r="AD33" s="1805" t="s">
        <v>808</v>
      </c>
      <c r="AE33" s="1806"/>
      <c r="AF33" s="1807"/>
      <c r="AG33" s="1805" t="s">
        <v>809</v>
      </c>
      <c r="AH33" s="1806"/>
      <c r="AI33" s="1807"/>
      <c r="AJ33" s="1805" t="s">
        <v>482</v>
      </c>
      <c r="AK33" s="1806"/>
      <c r="AL33" s="1807"/>
      <c r="AM33" s="1805" t="s">
        <v>486</v>
      </c>
      <c r="AN33" s="1806"/>
      <c r="AO33" s="1807"/>
      <c r="AP33" s="1805" t="s">
        <v>487</v>
      </c>
      <c r="AQ33" s="1806"/>
      <c r="AR33" s="1807"/>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00000000000006" customHeight="1" thickBot="1" x14ac:dyDescent="0.35">
      <c r="A34" s="1769"/>
      <c r="B34" s="1779"/>
      <c r="C34" s="1777"/>
      <c r="D34" s="1775"/>
      <c r="E34" s="1773"/>
      <c r="F34" s="74"/>
      <c r="G34" s="1771"/>
      <c r="H34" s="1765"/>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 customHeight="1" thickBot="1" x14ac:dyDescent="0.35">
      <c r="A35" s="649" t="s">
        <v>1194</v>
      </c>
      <c r="B35" s="650" t="s">
        <v>842</v>
      </c>
      <c r="C35" s="324">
        <f>C38+C62+C65+C68-C71</f>
        <v>944746.27628697851</v>
      </c>
      <c r="D35" s="323">
        <f>D36*1163</f>
        <v>1249165.921475308</v>
      </c>
      <c r="E35" s="651">
        <f>D35*'Ввод исходных данных'!$H$264</f>
        <v>1338624.714347926</v>
      </c>
      <c r="F35" s="652"/>
      <c r="G35" s="527" t="s">
        <v>1192</v>
      </c>
      <c r="H35" s="528" t="s">
        <v>842</v>
      </c>
      <c r="I35" s="327">
        <f>I38+I62+I65+I68-I71</f>
        <v>188620.12655901603</v>
      </c>
      <c r="J35" s="529">
        <f>J36*1163</f>
        <v>230240.41139699999</v>
      </c>
      <c r="K35" s="653">
        <f>K36*1163</f>
        <v>235545.49000061749</v>
      </c>
      <c r="L35" s="328">
        <f>L38+L62+L65+L68-L71</f>
        <v>166004.84920201986</v>
      </c>
      <c r="M35" s="529">
        <f>M36*1163</f>
        <v>181919.08605399998</v>
      </c>
      <c r="N35" s="653">
        <f>N36*1163</f>
        <v>193511.96898881378</v>
      </c>
      <c r="O35" s="327">
        <f>O38+O62+O65+O68-O71</f>
        <v>150953.58715041963</v>
      </c>
      <c r="P35" s="529">
        <f>P36*1163</f>
        <v>198451.83815799997</v>
      </c>
      <c r="Q35" s="654">
        <f>Q36*1163</f>
        <v>222801.75695039262</v>
      </c>
      <c r="R35" s="328">
        <f>R38+R62+R65+R68-R71</f>
        <v>64178.426816583786</v>
      </c>
      <c r="S35" s="653">
        <f>S36*1163</f>
        <v>116800.58311200001</v>
      </c>
      <c r="T35" s="653">
        <f>T36*1163</f>
        <v>162366.00833168137</v>
      </c>
      <c r="U35" s="327">
        <f>U38+U62+U65+U68-U71</f>
        <v>0</v>
      </c>
      <c r="V35" s="529">
        <f>V36*1163</f>
        <v>8947.9149859999961</v>
      </c>
      <c r="W35" s="655">
        <f>W36*1163</f>
        <v>0</v>
      </c>
      <c r="X35" s="327">
        <f>X38+X62+X65+X68-X71</f>
        <v>0</v>
      </c>
      <c r="Y35" s="529">
        <f>Y36*1163</f>
        <v>7391.1185340000011</v>
      </c>
      <c r="Z35" s="656">
        <f>Z36*1163</f>
        <v>0</v>
      </c>
      <c r="AA35" s="327">
        <f>AA38+AA62+AA65+AA68-AA71</f>
        <v>0</v>
      </c>
      <c r="AB35" s="529">
        <f>AB36*1163</f>
        <v>11018.681843000002</v>
      </c>
      <c r="AC35" s="656">
        <f>AC36*1163</f>
        <v>0</v>
      </c>
      <c r="AD35" s="327">
        <f>AD38+AD62+AD65+AD68-AD71</f>
        <v>0</v>
      </c>
      <c r="AE35" s="529">
        <f>AE36*1163</f>
        <v>16032.716764999997</v>
      </c>
      <c r="AF35" s="656">
        <f>AF36*1163</f>
        <v>0</v>
      </c>
      <c r="AG35" s="327">
        <f>AG38+AG62+AG65+AG68-AG71</f>
        <v>0</v>
      </c>
      <c r="AH35" s="529">
        <f>AH36*1163</f>
        <v>14124.320989999998</v>
      </c>
      <c r="AI35" s="656">
        <f>AI36*1163</f>
        <v>0</v>
      </c>
      <c r="AJ35" s="327">
        <f>AJ38+AJ62+AJ65+AJ68-AJ71</f>
        <v>46637.348409625687</v>
      </c>
      <c r="AK35" s="529">
        <f>AK36*1163</f>
        <v>67415.717529000001</v>
      </c>
      <c r="AL35" s="654">
        <f>AL36*1163</f>
        <v>43235.946841931989</v>
      </c>
      <c r="AM35" s="327">
        <f>AM38+AM62+AM65+AM68-AM71</f>
        <v>130195.00568040262</v>
      </c>
      <c r="AN35" s="529">
        <f>AN36*1163</f>
        <v>203465.60559000002</v>
      </c>
      <c r="AO35" s="654">
        <f>AO36*1163</f>
        <v>205946.89346304885</v>
      </c>
      <c r="AP35" s="327">
        <f>AP38+AP62+AP65+AP68-AP71</f>
        <v>171235.56990889463</v>
      </c>
      <c r="AQ35" s="529">
        <f>AQ36*1163</f>
        <v>194593.26118100001</v>
      </c>
      <c r="AR35" s="656">
        <f>AR36*1163</f>
        <v>226840.14446242285</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 customHeight="1" x14ac:dyDescent="0.3">
      <c r="A36" s="358" t="s">
        <v>874</v>
      </c>
      <c r="B36" s="359" t="s">
        <v>1184</v>
      </c>
      <c r="C36" s="658">
        <f>0.86*C35/1000</f>
        <v>812.48179760680148</v>
      </c>
      <c r="D36" s="559">
        <f>'Ввод исходных данных'!J198</f>
        <v>1074.0893563846157</v>
      </c>
      <c r="E36" s="659">
        <f>0.86*E35/1000</f>
        <v>1151.2172543392162</v>
      </c>
      <c r="F36" s="660"/>
      <c r="G36" s="379" t="s">
        <v>874</v>
      </c>
      <c r="H36" s="380" t="s">
        <v>1184</v>
      </c>
      <c r="I36" s="661">
        <f>0.86*I35/1000</f>
        <v>162.21330884075377</v>
      </c>
      <c r="J36" s="662">
        <f>'Ввод исходных данных'!$J$186</f>
        <v>197.97111899999999</v>
      </c>
      <c r="K36" s="651">
        <f>(J36)*'Ввод исходных данных'!$H$252</f>
        <v>202.53266552073731</v>
      </c>
      <c r="L36" s="661">
        <f>0.86*L35/1000</f>
        <v>142.76417031373705</v>
      </c>
      <c r="M36" s="98">
        <f>'Ввод исходных данных'!$J$187</f>
        <v>156.422258</v>
      </c>
      <c r="N36" s="651">
        <f>(M36)*'Ввод исходных данных'!$H$253</f>
        <v>166.39034306862749</v>
      </c>
      <c r="O36" s="661">
        <f>0.86*O35/1000</f>
        <v>129.82008494936088</v>
      </c>
      <c r="P36" s="98">
        <f>'Ввод исходных данных'!$J$188</f>
        <v>170.63786599999997</v>
      </c>
      <c r="Q36" s="651">
        <f>(P36)*'Ввод исходных данных'!$H$254</f>
        <v>191.57502747239263</v>
      </c>
      <c r="R36" s="661">
        <f>0.86*R35/1000</f>
        <v>55.193447062262059</v>
      </c>
      <c r="S36" s="98">
        <f>'Ввод исходных данных'!$J$189</f>
        <v>100.430424</v>
      </c>
      <c r="T36" s="651">
        <f>(S36)*'Ввод исходных данных'!$H$255</f>
        <v>139.60963743050849</v>
      </c>
      <c r="U36" s="384"/>
      <c r="V36" s="98">
        <f>'Ввод исходных данных'!$J$190</f>
        <v>7.6938219999999973</v>
      </c>
      <c r="W36" s="651">
        <f>(V36)*'Ввод исходных данных'!$H$256</f>
        <v>0</v>
      </c>
      <c r="X36" s="382"/>
      <c r="Y36" s="98">
        <f>'Ввод исходных данных'!$J$191</f>
        <v>6.3552180000000007</v>
      </c>
      <c r="Z36" s="651">
        <f>(Y36)*'Ввод исходных данных'!$H$257</f>
        <v>0</v>
      </c>
      <c r="AA36" s="384"/>
      <c r="AB36" s="98">
        <f>'Ввод исходных данных'!$J$192</f>
        <v>9.4743610000000018</v>
      </c>
      <c r="AC36" s="651">
        <f>(AB36)*'Ввод исходных данных'!$H$258</f>
        <v>0</v>
      </c>
      <c r="AD36" s="382"/>
      <c r="AE36" s="98">
        <f>'Ввод исходных данных'!$J$193</f>
        <v>13.785654999999998</v>
      </c>
      <c r="AF36" s="651">
        <f>(AE36)*'Ввод исходных данных'!$H$259</f>
        <v>0</v>
      </c>
      <c r="AG36" s="384"/>
      <c r="AH36" s="98">
        <f>'Ввод исходных данных'!$J$194</f>
        <v>12.144729999999999</v>
      </c>
      <c r="AI36" s="651">
        <f>(AH36)*'Ввод исходных данных'!$H$260</f>
        <v>0</v>
      </c>
      <c r="AJ36" s="661">
        <f>0.86*AJ35/1000</f>
        <v>40.10811963227809</v>
      </c>
      <c r="AK36" s="663">
        <f>'Ввод исходных данных'!$J$195</f>
        <v>57.967082999999995</v>
      </c>
      <c r="AL36" s="651">
        <f>(AK36)*'Ввод исходных данных'!$H$261</f>
        <v>37.176222563999993</v>
      </c>
      <c r="AM36" s="661">
        <f>0.86*AM35/1000</f>
        <v>111.96770488514626</v>
      </c>
      <c r="AN36" s="663">
        <f>'Ввод исходных данных'!$J$196</f>
        <v>174.94893000000002</v>
      </c>
      <c r="AO36" s="651">
        <f>(AN36)*'Ввод исходных данных'!$H$262</f>
        <v>177.08245353658543</v>
      </c>
      <c r="AP36" s="661">
        <f>0.86*AP35/1000</f>
        <v>147.26259012164937</v>
      </c>
      <c r="AQ36" s="663">
        <f>'Ввод исходных данных'!$J$197</f>
        <v>167.320087</v>
      </c>
      <c r="AR36" s="651">
        <f>(AQ36)*'Ввод исходных данных'!$H$263</f>
        <v>195.04741570285714</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 thickBot="1" x14ac:dyDescent="0.35">
      <c r="A37" s="358" t="s">
        <v>874</v>
      </c>
      <c r="B37" s="359" t="s">
        <v>1181</v>
      </c>
      <c r="C37" s="378"/>
      <c r="D37" s="664">
        <f>D39+D63+D66+D69-D72</f>
        <v>1074.2826924687652</v>
      </c>
      <c r="E37" s="664">
        <f>E39+E63+E66+E69-E72</f>
        <v>1151.2172543392167</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 customHeight="1" x14ac:dyDescent="0.3">
      <c r="A38" s="671" t="s">
        <v>1195</v>
      </c>
      <c r="B38" s="650" t="s">
        <v>842</v>
      </c>
      <c r="C38" s="330">
        <f>C41+C44+C47+C50+C53+C56+C59</f>
        <v>785313.26935872261</v>
      </c>
      <c r="D38" s="672">
        <f>$C38*(($D$35+$D$71)/($C$35+$C$71))</f>
        <v>978562.01995365869</v>
      </c>
      <c r="E38" s="672">
        <f>$C38*(($E$35+$E$71)/($C$35+$C$71))</f>
        <v>1035351.3902377922</v>
      </c>
      <c r="F38" s="673"/>
      <c r="G38" s="527" t="s">
        <v>1196</v>
      </c>
      <c r="H38" s="674" t="s">
        <v>842</v>
      </c>
      <c r="I38" s="330">
        <f>I41+I44+I47+I50+I53+I56+I59</f>
        <v>152912.11859797218</v>
      </c>
      <c r="J38" s="672">
        <f>I38*((J$35+J$71)/(I$35+I$71))</f>
        <v>179785.3628471464</v>
      </c>
      <c r="K38" s="672">
        <f>IFERROR(I38*((K$35+K$71)/(I$35+I$71)),0)</f>
        <v>183210.72799375808</v>
      </c>
      <c r="L38" s="330">
        <f>L41+L44+L47+L50+L53+L56+L59</f>
        <v>135003.49209550698</v>
      </c>
      <c r="M38" s="672">
        <f>L38*((M$35+M$71)/(L$35+L$71))</f>
        <v>145256.58217617005</v>
      </c>
      <c r="N38" s="672">
        <f>IFERROR(L38*((N$35+N$71)/(L$35+L$71)),0)</f>
        <v>152725.54686048281</v>
      </c>
      <c r="O38" s="330">
        <f>O41+O44+O47+O50+O53+O56+O59</f>
        <v>126049.17884427439</v>
      </c>
      <c r="P38" s="672">
        <f>O38*((P$35+P$71)/(O$35+O$71))</f>
        <v>156111.30555168787</v>
      </c>
      <c r="Q38" s="672">
        <f>IFERROR(O38*((Q$35+Q$71)/(O$35+O$71)),0)</f>
        <v>171522.61709525005</v>
      </c>
      <c r="R38" s="330">
        <f>R41+R44+R47+R50+R53+R56+R59</f>
        <v>54670.192939597582</v>
      </c>
      <c r="S38" s="672">
        <f>R38*((S$35+S$71)/(R$35+R$71))</f>
        <v>87547.43623265432</v>
      </c>
      <c r="T38" s="672">
        <f>IFERROR(R38*((T$35+T$71)/(R$35+R$71)),0)</f>
        <v>116015.77877432128</v>
      </c>
      <c r="U38" s="330">
        <f>U41+U44+U47+U50+U53+U56+U59</f>
        <v>0</v>
      </c>
      <c r="V38" s="672">
        <f>IFERROR(U38*((V$35+V$71)/(U$35+U$71)),0)</f>
        <v>0</v>
      </c>
      <c r="W38" s="672">
        <f>IFERROR(U38*((W$35+W$71)/(U$35+U$71)),0)</f>
        <v>0</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0</v>
      </c>
      <c r="AH38" s="672">
        <f>IFERROR(AG38*((AH$35+AH$71)/(AG$35+AG$71)),0)</f>
        <v>0</v>
      </c>
      <c r="AI38" s="672">
        <f>IFERROR(AG38*((AI$35+AI$71)/(AG$35+AG$71)),0)</f>
        <v>0</v>
      </c>
      <c r="AJ38" s="330">
        <f>AJ41+AJ44+AJ47+AJ50+AJ53+AJ56+AJ59</f>
        <v>48093.327623555764</v>
      </c>
      <c r="AK38" s="672">
        <f>IFERROR(AJ38*((AK$35+AK$71)/(AJ$35+AJ$71)),0)</f>
        <v>59779.425365148018</v>
      </c>
      <c r="AL38" s="672">
        <f>IFERROR(AJ38*((AL$35+AL$71)/(AJ$35+AJ$71)),0)</f>
        <v>46180.323241445207</v>
      </c>
      <c r="AM38" s="330">
        <f>AM41+AM44+AM47+AM50+AM53+AM56+AM59</f>
        <v>110651.3151144873</v>
      </c>
      <c r="AN38" s="672">
        <f>IFERROR(AM38*((AN$35+AN$71)/(AM$35+AM$71)),0)</f>
        <v>156496.60523438363</v>
      </c>
      <c r="AO38" s="672">
        <f>IFERROR(AM38*((AO$35+AO$71)/(AM$35+AM$71)),0)</f>
        <v>158049.14284907843</v>
      </c>
      <c r="AP38" s="330">
        <f>AP41+AP44+AP47+AP50+AP53+AP56+AP59</f>
        <v>140513.83871165011</v>
      </c>
      <c r="AQ38" s="672">
        <f>IFERROR(AP38*((AQ$35+AQ$71)/(AP$35+AP$71)),0)</f>
        <v>155470.44587324266</v>
      </c>
      <c r="AR38" s="672">
        <f>IFERROR(AP38*((AR$35+AR$71)/(AP$35+AP$71)),0)</f>
        <v>176119.06049047384</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3">
      <c r="A39" s="358" t="s">
        <v>874</v>
      </c>
      <c r="B39" s="359" t="s">
        <v>1184</v>
      </c>
      <c r="C39" s="558">
        <f>0.86*C38/1000</f>
        <v>675.36941164850145</v>
      </c>
      <c r="D39" s="377">
        <f>0.86*D38/1000</f>
        <v>841.56333716014649</v>
      </c>
      <c r="E39" s="676">
        <f>0.86*E38/1000</f>
        <v>890.40219560450134</v>
      </c>
      <c r="F39" s="677"/>
      <c r="G39" s="379" t="s">
        <v>874</v>
      </c>
      <c r="H39" s="678" t="s">
        <v>1184</v>
      </c>
      <c r="I39" s="679">
        <f t="shared" ref="I39:W39" si="23">0.86*I38/1000</f>
        <v>131.50442199425606</v>
      </c>
      <c r="J39" s="680">
        <f t="shared" si="23"/>
        <v>154.61541204854589</v>
      </c>
      <c r="K39" s="681">
        <f t="shared" si="23"/>
        <v>157.56122607463195</v>
      </c>
      <c r="L39" s="682">
        <f t="shared" si="23"/>
        <v>116.10300320213601</v>
      </c>
      <c r="M39" s="683">
        <f t="shared" si="23"/>
        <v>124.92066067150624</v>
      </c>
      <c r="N39" s="681">
        <f t="shared" si="23"/>
        <v>131.3439703000152</v>
      </c>
      <c r="O39" s="684">
        <f t="shared" si="23"/>
        <v>108.40229380607597</v>
      </c>
      <c r="P39" s="681">
        <f t="shared" si="23"/>
        <v>134.25572277445156</v>
      </c>
      <c r="Q39" s="681">
        <f t="shared" si="23"/>
        <v>147.50945070191506</v>
      </c>
      <c r="R39" s="685">
        <f t="shared" si="23"/>
        <v>47.016365928053922</v>
      </c>
      <c r="S39" s="680">
        <f t="shared" si="23"/>
        <v>75.290795160082709</v>
      </c>
      <c r="T39" s="686">
        <f t="shared" si="23"/>
        <v>99.773569745916305</v>
      </c>
      <c r="U39" s="687">
        <f t="shared" si="23"/>
        <v>0</v>
      </c>
      <c r="V39" s="680">
        <f t="shared" si="23"/>
        <v>0</v>
      </c>
      <c r="W39" s="686">
        <f t="shared" si="23"/>
        <v>0</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0</v>
      </c>
      <c r="AH39" s="680">
        <f t="shared" ref="AH39" si="27">0.86*AH38/1000</f>
        <v>0</v>
      </c>
      <c r="AI39" s="686">
        <f>0.86*AI38/1000</f>
        <v>0</v>
      </c>
      <c r="AJ39" s="682">
        <f>0.86*AJ38/1000</f>
        <v>41.360261756257955</v>
      </c>
      <c r="AK39" s="680">
        <f t="shared" ref="AK39:AN39" si="28">0.86*AK38/1000</f>
        <v>51.410305814027289</v>
      </c>
      <c r="AL39" s="686">
        <f t="shared" si="28"/>
        <v>39.715077987642879</v>
      </c>
      <c r="AM39" s="688">
        <f>0.86*AM38/1000</f>
        <v>95.160130998459081</v>
      </c>
      <c r="AN39" s="680">
        <f t="shared" si="28"/>
        <v>134.58708050156994</v>
      </c>
      <c r="AO39" s="686">
        <f t="shared" ref="AO39" si="29">0.86*AO38/1000</f>
        <v>135.92226285020746</v>
      </c>
      <c r="AP39" s="682">
        <f>0.86*AP38/1000</f>
        <v>120.84190129201909</v>
      </c>
      <c r="AQ39" s="680">
        <f t="shared" ref="AQ39:AR39" si="30">0.86*AQ38/1000</f>
        <v>133.70458345098868</v>
      </c>
      <c r="AR39" s="686">
        <f t="shared" si="30"/>
        <v>151.46239202180749</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 thickBot="1" x14ac:dyDescent="0.35">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3">
      <c r="A41" s="332" t="s">
        <v>1197</v>
      </c>
      <c r="B41" s="322" t="s">
        <v>842</v>
      </c>
      <c r="C41" s="333">
        <f>IF(C134=0,0,B134/C134*D134)*0.024*$D$147</f>
        <v>403157.6495615053</v>
      </c>
      <c r="D41" s="706">
        <f>C41*($D$38/$C$38)</f>
        <v>502366.09937437053</v>
      </c>
      <c r="E41" s="707">
        <f>C41*($E$38/$C$38)</f>
        <v>531520.15793564392</v>
      </c>
      <c r="F41" s="74"/>
      <c r="G41" s="334" t="s">
        <v>1197</v>
      </c>
      <c r="H41" s="326" t="s">
        <v>842</v>
      </c>
      <c r="I41" s="335">
        <f>IF($C134=0,0,$B134/$C134*$D134)*0.024*G$147</f>
        <v>78500.762343885217</v>
      </c>
      <c r="J41" s="610">
        <f>I41*($J$38/$I$38)</f>
        <v>92296.726846606995</v>
      </c>
      <c r="K41" s="708">
        <f>I41*($K$38/$I$38)</f>
        <v>94055.212555788428</v>
      </c>
      <c r="L41" s="335">
        <f>IF($C134=0,0,$B134/$C134*$D134)*0.024*H$147</f>
        <v>69306.979366673448</v>
      </c>
      <c r="M41" s="709">
        <f>L41*($M$38/$L$38)</f>
        <v>74570.626192656622</v>
      </c>
      <c r="N41" s="710">
        <f>L41*($N$38/$L$38)</f>
        <v>78404.98168399361</v>
      </c>
      <c r="O41" s="335">
        <f>IF($C134=0,0,$B134/$C134*$D134)*0.024*I$147</f>
        <v>64710.087878067556</v>
      </c>
      <c r="P41" s="711">
        <f>O41*($P$38/$O$38)</f>
        <v>80143.134557742073</v>
      </c>
      <c r="Q41" s="712">
        <f>O41*($Q$38/$O$38)</f>
        <v>88054.866577291716</v>
      </c>
      <c r="R41" s="335">
        <f>IF($C134=0,0,$B134/$C134*$D134)*0.024*J$147</f>
        <v>28066.132773485846</v>
      </c>
      <c r="S41" s="711">
        <f>R41*($S$38/$R$38)</f>
        <v>44944.380788974187</v>
      </c>
      <c r="T41" s="712">
        <f>R41*($T$38/$R$38)</f>
        <v>59559.223697947862</v>
      </c>
      <c r="U41" s="335">
        <f>IF($C134=0,0,$B134/$C134*$D134)*0.024*K$147</f>
        <v>0</v>
      </c>
      <c r="V41" s="711">
        <f>IFERROR(U41*($V$38/$U$38),0)</f>
        <v>0</v>
      </c>
      <c r="W41" s="712">
        <f>IFERROR(U41*($W$38/$U$38),0)</f>
        <v>0</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0</v>
      </c>
      <c r="AH41" s="711">
        <f>IFERROR(AG41*($AH$38/$AG$38),0)</f>
        <v>0</v>
      </c>
      <c r="AI41" s="712">
        <f>IFERROR(AG41*($AI$35/$AG$35),0)</f>
        <v>0</v>
      </c>
      <c r="AJ41" s="335">
        <f>IF($C134=0,0,$B134/$C134*$D134)*0.024*P$147</f>
        <v>24689.755898480027</v>
      </c>
      <c r="AK41" s="711">
        <f>AJ41*($AK$38/$AJ$38)</f>
        <v>30689.068379082284</v>
      </c>
      <c r="AL41" s="712">
        <f>IFERROR(AJ41*($AL$38/$AJ$38),0)</f>
        <v>23707.673485785868</v>
      </c>
      <c r="AM41" s="335">
        <f>IF($C134=0,0,$B134/$C134*$D134)*0.024*Q$147</f>
        <v>56805.25958624651</v>
      </c>
      <c r="AN41" s="711">
        <f>AM41*($AN$38/$AM$38)</f>
        <v>80340.936531187996</v>
      </c>
      <c r="AO41" s="712">
        <f>AM41*($AO$38/$AM$38)</f>
        <v>81137.965487679845</v>
      </c>
      <c r="AP41" s="335">
        <f>IF($C134=0,0,$B134/$C134*$D134)*0.024*R$147</f>
        <v>72135.835667353982</v>
      </c>
      <c r="AQ41" s="711">
        <f>AP41*($AQ$38/$AP$38)</f>
        <v>79814.135301341259</v>
      </c>
      <c r="AR41" s="712">
        <f>AP41*($AR$38/$AP$38)</f>
        <v>90414.550779589932</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3">
      <c r="A42" s="358" t="s">
        <v>874</v>
      </c>
      <c r="B42" s="359" t="s">
        <v>1184</v>
      </c>
      <c r="C42" s="558">
        <f>0.86*C41/1000</f>
        <v>346.71557862289455</v>
      </c>
      <c r="D42" s="377">
        <f>0.86*D41/1000</f>
        <v>432.0348454619587</v>
      </c>
      <c r="E42" s="676">
        <f>0.86*E41/1000</f>
        <v>457.10733582465372</v>
      </c>
      <c r="F42" s="74"/>
      <c r="G42" s="379" t="s">
        <v>874</v>
      </c>
      <c r="H42" s="380" t="s">
        <v>1184</v>
      </c>
      <c r="I42" s="688">
        <f t="shared" ref="I42:W42" si="31">0.86*I41/1000</f>
        <v>67.510655615741285</v>
      </c>
      <c r="J42" s="680">
        <f t="shared" si="31"/>
        <v>79.37518508808202</v>
      </c>
      <c r="K42" s="713">
        <f t="shared" si="31"/>
        <v>80.887482797978052</v>
      </c>
      <c r="L42" s="688">
        <f t="shared" ref="L42" si="32">0.86*L41/1000</f>
        <v>59.604002255339161</v>
      </c>
      <c r="M42" s="683">
        <f t="shared" si="31"/>
        <v>64.130738525684691</v>
      </c>
      <c r="N42" s="683">
        <f t="shared" si="31"/>
        <v>67.428284248234505</v>
      </c>
      <c r="O42" s="682">
        <f t="shared" si="31"/>
        <v>55.650675575138102</v>
      </c>
      <c r="P42" s="714">
        <f t="shared" si="31"/>
        <v>68.923095719658193</v>
      </c>
      <c r="Q42" s="714">
        <f t="shared" si="31"/>
        <v>75.727185256470861</v>
      </c>
      <c r="R42" s="688">
        <f t="shared" si="31"/>
        <v>24.136874185197826</v>
      </c>
      <c r="S42" s="680">
        <f t="shared" si="31"/>
        <v>38.652167478517804</v>
      </c>
      <c r="T42" s="686">
        <f t="shared" si="31"/>
        <v>51.220932380235155</v>
      </c>
      <c r="U42" s="688">
        <f t="shared" si="31"/>
        <v>0</v>
      </c>
      <c r="V42" s="680">
        <f t="shared" si="31"/>
        <v>0</v>
      </c>
      <c r="W42" s="686">
        <f t="shared" si="31"/>
        <v>0</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0</v>
      </c>
      <c r="AH42" s="680">
        <f t="shared" si="36"/>
        <v>0</v>
      </c>
      <c r="AI42" s="686">
        <f>0.86*AI41/1000</f>
        <v>0</v>
      </c>
      <c r="AJ42" s="688">
        <f t="shared" ref="AJ42" si="37">0.86*AJ41/1000</f>
        <v>21.233190072692821</v>
      </c>
      <c r="AK42" s="680">
        <f t="shared" ref="AK42" si="38">0.86*AK41/1000</f>
        <v>26.392598806010763</v>
      </c>
      <c r="AL42" s="686">
        <f t="shared" ref="AL42:AM42" si="39">0.86*AL41/1000</f>
        <v>20.388599197775847</v>
      </c>
      <c r="AM42" s="688">
        <f t="shared" si="39"/>
        <v>48.852523244171998</v>
      </c>
      <c r="AN42" s="680">
        <f t="shared" ref="AN42" si="40">0.86*AN41/1000</f>
        <v>69.093205416821675</v>
      </c>
      <c r="AO42" s="686">
        <f t="shared" ref="AO42:AP42" si="41">0.86*AO41/1000</f>
        <v>69.778650319404662</v>
      </c>
      <c r="AP42" s="688">
        <f t="shared" si="41"/>
        <v>62.036818673924429</v>
      </c>
      <c r="AQ42" s="680">
        <f t="shared" ref="AQ42" si="42">0.86*AQ41/1000</f>
        <v>68.64015635915348</v>
      </c>
      <c r="AR42" s="686">
        <f t="shared" ref="AR42" si="43">0.86*AR41/1000</f>
        <v>77.756513670447347</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 thickBot="1" x14ac:dyDescent="0.35">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3">
      <c r="A44" s="332" t="s">
        <v>1199</v>
      </c>
      <c r="B44" s="322" t="s">
        <v>842</v>
      </c>
      <c r="C44" s="333">
        <f>IF(C135=0,0,B135/C135*D135)*0.024*$D$147</f>
        <v>171113.71034482759</v>
      </c>
      <c r="D44" s="706">
        <f>C44*($D$38/$C$38)</f>
        <v>213221.12406623873</v>
      </c>
      <c r="E44" s="707">
        <f>C44*($E$38/$C$38)</f>
        <v>225595.09027388925</v>
      </c>
      <c r="F44" s="74"/>
      <c r="G44" s="334" t="s">
        <v>1199</v>
      </c>
      <c r="H44" s="326" t="s">
        <v>842</v>
      </c>
      <c r="I44" s="335">
        <f>IF($C135=0,0,$B135/$C135*$D135)*0.024*G$147</f>
        <v>33318.372413793099</v>
      </c>
      <c r="J44" s="610">
        <f>I44*($J$38/$I$38)</f>
        <v>39173.845270165417</v>
      </c>
      <c r="K44" s="708">
        <f>I44*($K$38/$I$38)</f>
        <v>39920.205942258988</v>
      </c>
      <c r="L44" s="335">
        <f>IF($C135=0,0,$B135/$C135*$D135)*0.024*H$147</f>
        <v>29416.220689655176</v>
      </c>
      <c r="M44" s="709">
        <f>L44*($M$38/$L$38)</f>
        <v>31650.290015434766</v>
      </c>
      <c r="N44" s="710">
        <f>L44*($N$38/$L$38)</f>
        <v>33277.719869779226</v>
      </c>
      <c r="O44" s="335">
        <f>IF($C135=0,0,$B135/$C135*$D135)*0.024*I$147</f>
        <v>27465.144827586209</v>
      </c>
      <c r="P44" s="711">
        <f>O44*($P$38/$O$38)</f>
        <v>34015.450600418008</v>
      </c>
      <c r="Q44" s="712">
        <f>O44*($Q$38/$O$38)</f>
        <v>37373.456637489573</v>
      </c>
      <c r="R44" s="335">
        <f>IF($C135=0,0,$B135/$C135*$D135)*0.024*J$147</f>
        <v>11912.213793103449</v>
      </c>
      <c r="S44" s="711">
        <f>R44*($S$38/$R$38)</f>
        <v>19075.911778721918</v>
      </c>
      <c r="T44" s="712">
        <f>R44*($T$38/$R$38)</f>
        <v>25278.944262370132</v>
      </c>
      <c r="U44" s="335">
        <f>IF($C135=0,0,$B135/$C135*$D135)*0.024*K$147</f>
        <v>0</v>
      </c>
      <c r="V44" s="711">
        <f>IFERROR(U44*($V$38/$U$38),0)</f>
        <v>0</v>
      </c>
      <c r="W44" s="712">
        <f>IFERROR(U44*($W$38/$U$38),0)</f>
        <v>0</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0</v>
      </c>
      <c r="AH44" s="711">
        <f>IFERROR(AG44*($AH$38/$AG$38),0)</f>
        <v>0</v>
      </c>
      <c r="AI44" s="712">
        <f>IFERROR(AG44*($AI$35/$AG$35),0)</f>
        <v>0</v>
      </c>
      <c r="AJ44" s="335">
        <f>IF($C135=0,0,$B135/$C135*$D135)*0.024*P$147</f>
        <v>10479.165517241379</v>
      </c>
      <c r="AK44" s="711">
        <f>AJ44*($AK$38/$AJ$38)</f>
        <v>13025.476170630762</v>
      </c>
      <c r="AL44" s="712">
        <f>IFERROR(AJ44*($AL$38/$AJ$38),0)</f>
        <v>10062.336602589072</v>
      </c>
      <c r="AM44" s="335">
        <f>IF($C135=0,0,$B135/$C135*$D135)*0.024*Q$147</f>
        <v>24110.068965517246</v>
      </c>
      <c r="AN44" s="711">
        <f>AM44*($AN$38/$AM$38)</f>
        <v>34099.404432440482</v>
      </c>
      <c r="AO44" s="712">
        <f>AM44*($AO$38/$AM$38)</f>
        <v>34437.690415965597</v>
      </c>
      <c r="AP44" s="335">
        <f>IF($C135=0,0,$B135/$C135*$D135)*0.024*R$147</f>
        <v>30616.88275862069</v>
      </c>
      <c r="AQ44" s="711">
        <f>AP44*($AQ$38/$AP$38)</f>
        <v>33875.812214479753</v>
      </c>
      <c r="AR44" s="712">
        <f>AP44*($AR$38/$AP$38)</f>
        <v>38374.986236485121</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3">
      <c r="A45" s="358" t="s">
        <v>874</v>
      </c>
      <c r="B45" s="359" t="s">
        <v>1184</v>
      </c>
      <c r="C45" s="558">
        <f>0.86*C44/1000</f>
        <v>147.15779089655172</v>
      </c>
      <c r="D45" s="377">
        <f>0.86*D44/1000</f>
        <v>183.37016669696533</v>
      </c>
      <c r="E45" s="676">
        <f>0.86*E44/1000</f>
        <v>194.01177763554475</v>
      </c>
      <c r="F45" s="74"/>
      <c r="G45" s="379" t="s">
        <v>874</v>
      </c>
      <c r="H45" s="380" t="s">
        <v>1184</v>
      </c>
      <c r="I45" s="688">
        <f t="shared" ref="I45:O45" si="44">0.86*I44/1000</f>
        <v>28.653800275862064</v>
      </c>
      <c r="J45" s="680">
        <f t="shared" si="44"/>
        <v>33.689506932342255</v>
      </c>
      <c r="K45" s="713">
        <f t="shared" si="44"/>
        <v>34.331377110342729</v>
      </c>
      <c r="L45" s="688">
        <f t="shared" ref="L45" si="45">0.86*L44/1000</f>
        <v>25.297949793103449</v>
      </c>
      <c r="M45" s="683">
        <f t="shared" si="44"/>
        <v>27.219249413273896</v>
      </c>
      <c r="N45" s="683">
        <f t="shared" si="44"/>
        <v>28.618839088010137</v>
      </c>
      <c r="O45" s="688">
        <f t="shared" si="44"/>
        <v>23.620024551724139</v>
      </c>
      <c r="P45" s="717">
        <f t="shared" ref="P45:P57" si="46">O45*($P$35/$O$35)</f>
        <v>31.052175560133513</v>
      </c>
      <c r="Q45" s="718">
        <f t="shared" ref="Q45" si="47">O45*($Q$35/$O$35)</f>
        <v>34.862258450947444</v>
      </c>
      <c r="R45" s="688">
        <f t="shared" ref="R45" si="48">0.86*R44/1000</f>
        <v>10.244503862068965</v>
      </c>
      <c r="S45" s="680">
        <f>0.86*S44/1000</f>
        <v>16.405284129700849</v>
      </c>
      <c r="T45" s="686">
        <f>0.86*T44/1000</f>
        <v>21.739892065638312</v>
      </c>
      <c r="U45" s="688">
        <f t="shared" ref="U45:W45" si="49">0.86*U44/1000</f>
        <v>0</v>
      </c>
      <c r="V45" s="680">
        <f t="shared" si="49"/>
        <v>0</v>
      </c>
      <c r="W45" s="686">
        <f t="shared" si="49"/>
        <v>0</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0</v>
      </c>
      <c r="AH45" s="680">
        <f t="shared" si="53"/>
        <v>0</v>
      </c>
      <c r="AI45" s="686">
        <f>0.86*AI44/1000</f>
        <v>0</v>
      </c>
      <c r="AJ45" s="688">
        <f t="shared" ref="AJ45" si="54">0.86*AJ44/1000</f>
        <v>9.0120823448275864</v>
      </c>
      <c r="AK45" s="680">
        <f t="shared" ref="AK45" si="55">0.86*AK44/1000</f>
        <v>11.201909506742455</v>
      </c>
      <c r="AL45" s="686">
        <f t="shared" ref="AL45:AM45" si="56">0.86*AL44/1000</f>
        <v>8.6536094782266009</v>
      </c>
      <c r="AM45" s="688">
        <f t="shared" si="56"/>
        <v>20.734659310344831</v>
      </c>
      <c r="AN45" s="680">
        <f t="shared" ref="AN45" si="57">0.86*AN44/1000</f>
        <v>29.325487811898814</v>
      </c>
      <c r="AO45" s="686">
        <f t="shared" ref="AO45:AP45" si="58">0.86*AO44/1000</f>
        <v>29.616413757730413</v>
      </c>
      <c r="AP45" s="688">
        <f t="shared" si="58"/>
        <v>26.330519172413791</v>
      </c>
      <c r="AQ45" s="680">
        <f t="shared" ref="AQ45" si="59">0.86*AQ44/1000</f>
        <v>29.133198504452587</v>
      </c>
      <c r="AR45" s="686">
        <f t="shared" ref="AR45" si="60">0.86*AR44/1000</f>
        <v>33.002488163377201</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5">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3">
      <c r="A47" s="332" t="s">
        <v>1201</v>
      </c>
      <c r="B47" s="322" t="s">
        <v>842</v>
      </c>
      <c r="C47" s="333">
        <f>IF(C136=0,0,B136/C136*D136)*0.024*$D$147</f>
        <v>19887.226078291817</v>
      </c>
      <c r="D47" s="706">
        <f>C47*($D$35/$C$35)</f>
        <v>26295.361742321351</v>
      </c>
      <c r="E47" s="707">
        <f>C47*($E$38/$C$38)</f>
        <v>26219.176437635484</v>
      </c>
      <c r="F47" s="74"/>
      <c r="G47" s="334" t="s">
        <v>1201</v>
      </c>
      <c r="H47" s="326" t="s">
        <v>842</v>
      </c>
      <c r="I47" s="335">
        <f>IF($C136=0,0,$B136/$C136*$D136)*0.024*G$147</f>
        <v>3872.3373096085406</v>
      </c>
      <c r="J47" s="610">
        <f>I47*($J$38/$I$38)</f>
        <v>4552.8737333428498</v>
      </c>
      <c r="K47" s="708">
        <f>I47*($K$38/$I$38)</f>
        <v>4639.6174746360466</v>
      </c>
      <c r="L47" s="335">
        <f>IF($C136=0,0,$B136/$C136*$D136)*0.024*H$147</f>
        <v>3418.8203274021353</v>
      </c>
      <c r="M47" s="709">
        <f>L47*($M$38/$L$38)</f>
        <v>3678.4689649474358</v>
      </c>
      <c r="N47" s="708">
        <f>L47*($N$38/$L$38)</f>
        <v>3867.6125781312526</v>
      </c>
      <c r="O47" s="335">
        <f>IF($C136=0,0,$B136/$C136*$D136)*0.024*I$147</f>
        <v>3192.0618362989326</v>
      </c>
      <c r="P47" s="711">
        <f>O47*($P$38/$O$38)</f>
        <v>3953.3533279259427</v>
      </c>
      <c r="Q47" s="712">
        <f>O47*($Q$38/$O$38)</f>
        <v>4343.628456066951</v>
      </c>
      <c r="R47" s="335">
        <f>IF($C136=0,0,$B136/$C136*$D136)*0.024*J$147</f>
        <v>1384.4646832740214</v>
      </c>
      <c r="S47" s="711">
        <f>R47*($S$38/$R$38)</f>
        <v>2217.0460182792713</v>
      </c>
      <c r="T47" s="712">
        <f>R47*($T$38/$R$38)</f>
        <v>2937.9766153933379</v>
      </c>
      <c r="U47" s="335">
        <f>IF($C136=0,0,$B136/$C136*$D136)*0.024*K$147</f>
        <v>0</v>
      </c>
      <c r="V47" s="711">
        <f>IFERROR(U47*($V$38/$U$38),0)</f>
        <v>0</v>
      </c>
      <c r="W47" s="712">
        <f>IFERROR(U47*($W$38/$U$38),0)</f>
        <v>0</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0</v>
      </c>
      <c r="AH47" s="720">
        <f>IFERROR(AG47*($AH$35/$AG$35),0)</f>
        <v>0</v>
      </c>
      <c r="AI47" s="721">
        <f>IFERROR(AG47*($AI$35/$AG$35),0)</f>
        <v>0</v>
      </c>
      <c r="AJ47" s="335">
        <f>IF($C136=0,0,$B136/$C136*$D136)*0.024*P$147</f>
        <v>1217.9125409252667</v>
      </c>
      <c r="AK47" s="711">
        <f>AJ47*($AK$38/$AJ$38)</f>
        <v>1513.8505784295087</v>
      </c>
      <c r="AL47" s="712">
        <f>IFERROR(AJ47*($AL$38/$AJ$38),)</f>
        <v>1169.467732821028</v>
      </c>
      <c r="AM47" s="335">
        <f>IF($C136=0,0,$B136/$C136*$D136)*0.024*Q$147</f>
        <v>2802.1272597864772</v>
      </c>
      <c r="AN47" s="711">
        <f>AM47*($AN$38/$AM$38)</f>
        <v>3963.1106339548123</v>
      </c>
      <c r="AO47" s="712">
        <f>AM47*($AO$38/$AM$38)</f>
        <v>4002.4270032856152</v>
      </c>
      <c r="AP47" s="335">
        <f>IF($C136=0,0,$B136/$C136*$D136)*0.024*R$147</f>
        <v>3558.3640142348754</v>
      </c>
      <c r="AQ47" s="711">
        <f>AP47*($AQ$38/$AP$38)</f>
        <v>3937.1242359100802</v>
      </c>
      <c r="AR47" s="712">
        <f>AP47*($AR$38/$AP$38)</f>
        <v>4460.0285126093959</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3">
      <c r="A48" s="358" t="s">
        <v>874</v>
      </c>
      <c r="B48" s="359" t="s">
        <v>1184</v>
      </c>
      <c r="C48" s="558">
        <f>0.86*C47/1000</f>
        <v>17.103014427330962</v>
      </c>
      <c r="D48" s="377">
        <f>0.86*D47/1000</f>
        <v>22.614011098396361</v>
      </c>
      <c r="E48" s="676">
        <f>0.86*E47/1000</f>
        <v>22.548491736366515</v>
      </c>
      <c r="F48" s="74"/>
      <c r="G48" s="379" t="s">
        <v>874</v>
      </c>
      <c r="H48" s="380" t="s">
        <v>1184</v>
      </c>
      <c r="I48" s="723">
        <f t="shared" ref="I48:O48" si="61">0.86*I47/1000</f>
        <v>3.3302100862633446</v>
      </c>
      <c r="J48" s="680">
        <f t="shared" si="61"/>
        <v>3.9154714106748507</v>
      </c>
      <c r="K48" s="724">
        <f t="shared" si="61"/>
        <v>3.9900710281870002</v>
      </c>
      <c r="L48" s="723">
        <f t="shared" ref="L48" si="62">0.86*L47/1000</f>
        <v>2.9401854815658361</v>
      </c>
      <c r="M48" s="683">
        <f t="shared" si="61"/>
        <v>3.1634833098547945</v>
      </c>
      <c r="N48" s="681">
        <f t="shared" si="61"/>
        <v>3.3261468171928774</v>
      </c>
      <c r="O48" s="723">
        <f t="shared" si="61"/>
        <v>2.7451731792170824</v>
      </c>
      <c r="P48" s="717">
        <f t="shared" si="46"/>
        <v>3.6089547374241135</v>
      </c>
      <c r="Q48" s="718">
        <f t="shared" ref="Q48" si="63">O48*($Q$35/$O$35)</f>
        <v>4.0517712696233916</v>
      </c>
      <c r="R48" s="723">
        <f t="shared" ref="R48" si="64">0.86*R47/1000</f>
        <v>1.1906396276156583</v>
      </c>
      <c r="S48" s="725">
        <f>0.86*S47/1000</f>
        <v>1.9066595757201732</v>
      </c>
      <c r="T48" s="726">
        <f>0.86*T47/1000</f>
        <v>2.5266598892382706</v>
      </c>
      <c r="U48" s="723">
        <f t="shared" ref="U48:W48" si="65">0.86*U47/1000</f>
        <v>0</v>
      </c>
      <c r="V48" s="680">
        <f t="shared" si="65"/>
        <v>0</v>
      </c>
      <c r="W48" s="686">
        <f t="shared" si="65"/>
        <v>0</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0</v>
      </c>
      <c r="AH48" s="680">
        <f t="shared" si="69"/>
        <v>0</v>
      </c>
      <c r="AI48" s="686">
        <f>0.86*AI47/1000</f>
        <v>0</v>
      </c>
      <c r="AJ48" s="723">
        <f t="shared" ref="AJ48" si="70">0.86*AJ47/1000</f>
        <v>1.0474047851957293</v>
      </c>
      <c r="AK48" s="680">
        <f t="shared" ref="AK48" si="71">0.86*AK47/1000</f>
        <v>1.3019114974493775</v>
      </c>
      <c r="AL48" s="686">
        <f t="shared" ref="AL48:AM48" si="72">0.86*AL47/1000</f>
        <v>1.005742250226084</v>
      </c>
      <c r="AM48" s="723">
        <f t="shared" si="72"/>
        <v>2.4098294434163705</v>
      </c>
      <c r="AN48" s="680">
        <f t="shared" ref="AN48" si="73">0.86*AN47/1000</f>
        <v>3.4082751452011384</v>
      </c>
      <c r="AO48" s="686">
        <f t="shared" ref="AO48:AP48" si="74">0.86*AO47/1000</f>
        <v>3.442087222825629</v>
      </c>
      <c r="AP48" s="723">
        <f t="shared" si="74"/>
        <v>3.0601930522419929</v>
      </c>
      <c r="AQ48" s="680">
        <f t="shared" ref="AQ48" si="75">0.86*AQ47/1000</f>
        <v>3.385926842882669</v>
      </c>
      <c r="AR48" s="686">
        <f t="shared" ref="AR48" si="76">0.86*AR47/1000</f>
        <v>3.8356245208440805</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5">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3">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3">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5">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3">
      <c r="A53" s="332" t="s">
        <v>1203</v>
      </c>
      <c r="B53" s="322" t="s">
        <v>842</v>
      </c>
      <c r="C53" s="333">
        <f>(IF(C138=0,0,B138/C138*D138)+IF(C139=0,0,B139/C139*D139)+IF(C140=0,0,B140/C140*D140))*0.024*$D$147</f>
        <v>68721.588363636372</v>
      </c>
      <c r="D53" s="706">
        <f>C53*($D$38/$C$38)</f>
        <v>85632.497179702608</v>
      </c>
      <c r="E53" s="707">
        <f>C53*($E$38/$C$38)</f>
        <v>90602.049943382779</v>
      </c>
      <c r="F53" s="74"/>
      <c r="G53" s="334" t="s">
        <v>1203</v>
      </c>
      <c r="H53" s="326" t="s">
        <v>842</v>
      </c>
      <c r="I53" s="335">
        <f>(IF(C138=0,0,B138/C138*D138)+IF(C139=0,0,B139/C139*D139)+IF(C140=0,0,B140/C140*D140))*0.024*G$147</f>
        <v>13381.110545454545</v>
      </c>
      <c r="J53" s="610">
        <f>I53*($J$38/$I$38)</f>
        <v>15732.747912788553</v>
      </c>
      <c r="K53" s="708">
        <f>I53*($K$38/$I$38)</f>
        <v>16032.49648801996</v>
      </c>
      <c r="L53" s="335">
        <f>(IF(C138=0,0,B138/C138*D138)+IF(C139=0,0,B139/C139*D139)+IF(C140=0,0,B140/C140*D140))*0.024*H$147</f>
        <v>11813.953454545455</v>
      </c>
      <c r="M53" s="709">
        <f>L53*($M$38/$L$38)</f>
        <v>12711.186015704121</v>
      </c>
      <c r="N53" s="708">
        <f>L53*($N$38/$L$38)</f>
        <v>13364.783932057953</v>
      </c>
      <c r="O53" s="335">
        <f>(IF(C138=0,0,B138/C138*D138)+IF(C139=0,0,B139/C139*D139)+IF(C140=0,0,B140/C140*D140))*0.024*I$147</f>
        <v>11030.374909090911</v>
      </c>
      <c r="P53" s="711">
        <f>O53*($P$38/$O$38)</f>
        <v>13661.066605678887</v>
      </c>
      <c r="Q53" s="712">
        <f>O53*($Q$38/$O$38)</f>
        <v>15009.687403727134</v>
      </c>
      <c r="R53" s="335">
        <f>(IF(C138=0,0,B138/C138*D138)+IF(C139=0,0,B139/C139*D139)+IF(C140=0,0,B140/C140*D140))*0.024*J$147</f>
        <v>4784.1067272727278</v>
      </c>
      <c r="S53" s="711">
        <f>R53*($S$38/$R$38)</f>
        <v>7661.1450612379103</v>
      </c>
      <c r="T53" s="712">
        <f>R53*($T$38/$R$38)</f>
        <v>10152.367091830873</v>
      </c>
      <c r="U53" s="335">
        <f>(IF(C138=0,0,B138/C138*D138)+IF(C139=0,0,B139/C139*D139)+IF(C140=0,0,B140/C140*D140))*0.024*K$147</f>
        <v>0</v>
      </c>
      <c r="V53" s="711">
        <f>IFERROR(U53*($V$38/$U$38),0)</f>
        <v>0</v>
      </c>
      <c r="W53" s="712">
        <f>IFERROR(U53*($W$38/$U$38),0)</f>
        <v>0</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0</v>
      </c>
      <c r="AH53" s="711">
        <f>IFERROR(AG53*($AH$38/$AG$38),)</f>
        <v>0</v>
      </c>
      <c r="AI53" s="712">
        <f>IFERROR(AG53*($AI$35/$AG$35),0)</f>
        <v>0</v>
      </c>
      <c r="AJ53" s="335">
        <f>(IF(C138=0,0,B138/C138*D138)+IF(C139=0,0,B139/C139*D139)+IF(C140=0,0,B140/C140*D140))*0.024*P$147</f>
        <v>4208.5750909090912</v>
      </c>
      <c r="AK53" s="711">
        <f>AJ53*($AK$38/$AJ$38)</f>
        <v>5231.2080068544883</v>
      </c>
      <c r="AL53" s="712">
        <f>IFERROR(AJ53*($AL$38/$AJ$38),0)</f>
        <v>4041.1709417437692</v>
      </c>
      <c r="AM53" s="335">
        <f>(IF(C138=0,0,B138/C138*D138)+IF(C139=0,0,B139/C139*D139)+IF(C140=0,0,B140/C140*D140))*0.024*Q$147</f>
        <v>9682.9309090909101</v>
      </c>
      <c r="AN53" s="711">
        <f>AM53*($AN$38/$AM$38)</f>
        <v>13694.783604008075</v>
      </c>
      <c r="AO53" s="712">
        <f>AM53*($AO$38/$AM$38)</f>
        <v>13830.643846078407</v>
      </c>
      <c r="AP53" s="335">
        <f>(IF(C138=0,0,B138/C138*D138)+IF(C139=0,0,B139/C139*D139)+IF(C140=0,0,B140/C140*D140))*0.024*R$147</f>
        <v>12296.155636363637</v>
      </c>
      <c r="AQ53" s="711">
        <f>AP53*($AQ$38/$AP$38)</f>
        <v>13604.985934767868</v>
      </c>
      <c r="AR53" s="712">
        <f>AP53*($AR$38/$AP$38)</f>
        <v>15411.915283056444</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3">
      <c r="A54" s="358" t="s">
        <v>874</v>
      </c>
      <c r="B54" s="359" t="s">
        <v>1184</v>
      </c>
      <c r="C54" s="558">
        <f>0.86*C53/1000</f>
        <v>59.100565992727276</v>
      </c>
      <c r="D54" s="377">
        <f>0.86*D53/1000</f>
        <v>73.643947574544242</v>
      </c>
      <c r="E54" s="676">
        <f>0.86*E53/1000</f>
        <v>77.917762951309186</v>
      </c>
      <c r="F54" s="74"/>
      <c r="G54" s="379" t="s">
        <v>874</v>
      </c>
      <c r="H54" s="380" t="s">
        <v>1184</v>
      </c>
      <c r="I54" s="728">
        <f t="shared" ref="I54:O54" si="83">0.86*I53/1000</f>
        <v>11.507755069090909</v>
      </c>
      <c r="J54" s="680">
        <f t="shared" si="83"/>
        <v>13.530163204998155</v>
      </c>
      <c r="K54" s="713">
        <f t="shared" si="83"/>
        <v>13.787946979697166</v>
      </c>
      <c r="L54" s="728">
        <f t="shared" ref="L54" si="84">0.86*L53/1000</f>
        <v>10.159999970909091</v>
      </c>
      <c r="M54" s="683">
        <f t="shared" si="83"/>
        <v>10.931619973505544</v>
      </c>
      <c r="N54" s="681">
        <f t="shared" si="83"/>
        <v>11.493714181569839</v>
      </c>
      <c r="O54" s="728">
        <f t="shared" si="83"/>
        <v>9.4861224218181839</v>
      </c>
      <c r="P54" s="717">
        <f t="shared" si="46"/>
        <v>12.470975133076882</v>
      </c>
      <c r="Q54" s="718">
        <f t="shared" ref="Q54" si="85">O54*($Q$35/$O$35)</f>
        <v>14.001156131000426</v>
      </c>
      <c r="R54" s="728">
        <f t="shared" ref="R54" si="86">0.86*R53/1000</f>
        <v>4.1143317854545458</v>
      </c>
      <c r="S54" s="725">
        <f>0.86*S53/1000</f>
        <v>6.5885847526646026</v>
      </c>
      <c r="T54" s="726">
        <f>0.86*T53/1000</f>
        <v>8.7310356989745497</v>
      </c>
      <c r="U54" s="728">
        <f t="shared" ref="U54:W54" si="87">0.86*U53/1000</f>
        <v>0</v>
      </c>
      <c r="V54" s="680">
        <f t="shared" si="87"/>
        <v>0</v>
      </c>
      <c r="W54" s="686">
        <f t="shared" si="87"/>
        <v>0</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v>
      </c>
      <c r="AH54" s="680">
        <f t="shared" si="91"/>
        <v>0</v>
      </c>
      <c r="AI54" s="686">
        <f>0.86*AI53/1000</f>
        <v>0</v>
      </c>
      <c r="AJ54" s="728">
        <f t="shared" ref="AJ54" si="92">0.86*AJ53/1000</f>
        <v>3.6193745781818185</v>
      </c>
      <c r="AK54" s="680">
        <f t="shared" ref="AK54" si="93">0.86*AK53/1000</f>
        <v>4.4988388858948598</v>
      </c>
      <c r="AL54" s="686">
        <f t="shared" ref="AL54:AM54" si="94">0.86*AL53/1000</f>
        <v>3.4754070098996412</v>
      </c>
      <c r="AM54" s="728">
        <f t="shared" si="94"/>
        <v>8.3273205818181832</v>
      </c>
      <c r="AN54" s="680">
        <f t="shared" ref="AN54" si="95">0.86*AN53/1000</f>
        <v>11.777513899446943</v>
      </c>
      <c r="AO54" s="686">
        <f t="shared" ref="AO54:AP54" si="96">0.86*AO53/1000</f>
        <v>11.894353707627429</v>
      </c>
      <c r="AP54" s="728">
        <f t="shared" si="96"/>
        <v>10.574693847272728</v>
      </c>
      <c r="AQ54" s="680">
        <f t="shared" ref="AQ54" si="97">0.86*AQ53/1000</f>
        <v>11.700287903900367</v>
      </c>
      <c r="AR54" s="686">
        <f t="shared" ref="AR54" si="98">0.86*AR53/1000</f>
        <v>13.254247143428541</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 thickBot="1" x14ac:dyDescent="0.35">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3">
      <c r="A56" s="332" t="s">
        <v>1204</v>
      </c>
      <c r="B56" s="322" t="s">
        <v>842</v>
      </c>
      <c r="C56" s="333">
        <f>(IF(C142=0,0,B142/C142*D142)+IF(C141=0,0,B141/C141*D141))*0.024*$D$147</f>
        <v>121415.18781046155</v>
      </c>
      <c r="D56" s="706">
        <f>C56*($D$38/$C$38)</f>
        <v>151292.86117103149</v>
      </c>
      <c r="E56" s="707">
        <f>C56*($E$38/$C$38)</f>
        <v>160072.91408458582</v>
      </c>
      <c r="F56" s="74"/>
      <c r="G56" s="334" t="s">
        <v>1204</v>
      </c>
      <c r="H56" s="326" t="s">
        <v>842</v>
      </c>
      <c r="I56" s="335">
        <f>(IF(C142=0,0,B142/C142*D142)+IF(C141=0,0,B141/C141*D141))*0.024*G$147</f>
        <v>23641.334385230766</v>
      </c>
      <c r="J56" s="610">
        <f>I56*($J$38/$I$38)</f>
        <v>27796.134927763651</v>
      </c>
      <c r="K56" s="708">
        <f>I56*($K$35/$I$35)</f>
        <v>29522.881749818491</v>
      </c>
      <c r="L56" s="335">
        <f>(IF(C142=0,0,B142/C142*D142)+IF(C141=0,0,B141/C141*D141))*0.024*H$147</f>
        <v>20872.529457230772</v>
      </c>
      <c r="M56" s="709">
        <f>L56*($M$38/$L$38)</f>
        <v>22457.732339130172</v>
      </c>
      <c r="N56" s="708">
        <f>L56*($N$38/$L$38)</f>
        <v>23612.489027039006</v>
      </c>
      <c r="O56" s="335">
        <f>(IF(C142=0,0,B142/C142*D142)+IF(C141=0,0,B141/C141*D141))*0.024*I$147</f>
        <v>19488.126993230773</v>
      </c>
      <c r="P56" s="711">
        <f>O56*($P$38/$O$38)</f>
        <v>24135.952138402514</v>
      </c>
      <c r="Q56" s="712">
        <f>O56*($Q$38/$O$38)</f>
        <v>26518.653868369598</v>
      </c>
      <c r="R56" s="335">
        <f>(IF(C142=0,0,B142/C142*D142)+IF(C141=0,0,B141/C141*D141))*0.024*J$147</f>
        <v>8452.412562461539</v>
      </c>
      <c r="S56" s="711">
        <f>R56*($S$38/$R$38)</f>
        <v>13535.475366654793</v>
      </c>
      <c r="T56" s="712">
        <f>R56*($T$38/$R$38)</f>
        <v>17936.889797320884</v>
      </c>
      <c r="U56" s="335">
        <f>(IF(C142=0,0,B142/C142*D142)+IF(C141=0,0,B141/C141*D141))*0.024*K$147</f>
        <v>0</v>
      </c>
      <c r="V56" s="711">
        <f>IFERROR(U56*($V$38/$U$38),0)</f>
        <v>0</v>
      </c>
      <c r="W56" s="712">
        <f>IFERROR(U56*($W$38/$U$38),0)</f>
        <v>0</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0</v>
      </c>
      <c r="AH56" s="711">
        <f>IFERROR(AG56*($AH$38/$AG$38),0)</f>
        <v>0</v>
      </c>
      <c r="AI56" s="712">
        <f>IFERROR(AG56*($AI$35/$AG$35),0)</f>
        <v>0</v>
      </c>
      <c r="AJ56" s="335">
        <f>(IF(C142=0,0,B142/C142*D142)+IF(C141=0,0,B141/C141*D141))*0.024*P$147</f>
        <v>7435.5809760000002</v>
      </c>
      <c r="AK56" s="711">
        <f>AJ56*($AK$38/$AJ$38)</f>
        <v>9242.3373462641448</v>
      </c>
      <c r="AL56" s="712">
        <f>AJ56*($AL$38/$AJ$38)</f>
        <v>7139.8164761516073</v>
      </c>
      <c r="AM56" s="335">
        <f>(IF(C142=0,0,B142/C142*D142)+IF(C141=0,0,B141/C141*D141))*0.024*Q$147</f>
        <v>17107.504393846157</v>
      </c>
      <c r="AN56" s="711">
        <f>AM56*($AN$38/$AM$38)</f>
        <v>24195.522293604423</v>
      </c>
      <c r="AO56" s="712">
        <f>AM56*($AO$38/$AM$38)</f>
        <v>24435.555988979144</v>
      </c>
      <c r="AP56" s="335">
        <f>(IF(C142=0,0,B142/C142*D142)+IF(C141=0,0,B141/C141*D141))*0.024*R$147</f>
        <v>21724.469435076924</v>
      </c>
      <c r="AQ56" s="711">
        <f>AP56*($AQ$38/$AP$38)</f>
        <v>24036.87053459603</v>
      </c>
      <c r="AR56" s="712">
        <f>AP56*($AR$38/$AP$38)</f>
        <v>27229.297709326183</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3">
      <c r="A57" s="358" t="s">
        <v>874</v>
      </c>
      <c r="B57" s="359" t="s">
        <v>1184</v>
      </c>
      <c r="C57" s="558">
        <f>0.86*C56/1000</f>
        <v>104.41706151699692</v>
      </c>
      <c r="D57" s="377">
        <f>0.86*D56/1000</f>
        <v>130.11186060708707</v>
      </c>
      <c r="E57" s="676">
        <f>0.86*E56/1000</f>
        <v>137.66270611274379</v>
      </c>
      <c r="F57" s="74"/>
      <c r="G57" s="379" t="s">
        <v>874</v>
      </c>
      <c r="H57" s="380" t="s">
        <v>1184</v>
      </c>
      <c r="I57" s="728">
        <f t="shared" ref="I57:O57" si="99">0.86*I56/1000</f>
        <v>20.331547571298458</v>
      </c>
      <c r="J57" s="680">
        <f t="shared" si="99"/>
        <v>23.90467603787674</v>
      </c>
      <c r="K57" s="713">
        <f t="shared" si="99"/>
        <v>25.389678304843901</v>
      </c>
      <c r="L57" s="728">
        <f t="shared" ref="L57" si="100">0.86*L56/1000</f>
        <v>17.950375333218464</v>
      </c>
      <c r="M57" s="683">
        <f t="shared" si="99"/>
        <v>19.313649811651945</v>
      </c>
      <c r="N57" s="681">
        <f t="shared" si="99"/>
        <v>20.306740563253545</v>
      </c>
      <c r="O57" s="728">
        <f t="shared" si="99"/>
        <v>16.759789214178465</v>
      </c>
      <c r="P57" s="717">
        <f t="shared" si="46"/>
        <v>22.033335142808447</v>
      </c>
      <c r="Q57" s="718">
        <f t="shared" ref="Q57" si="101">O57*($Q$35/$O$35)</f>
        <v>24.73681184744752</v>
      </c>
      <c r="R57" s="728">
        <f t="shared" ref="R57" si="102">0.86*R56/1000</f>
        <v>7.269074803716923</v>
      </c>
      <c r="S57" s="725">
        <f>0.86*S56/1000</f>
        <v>11.640508815323123</v>
      </c>
      <c r="T57" s="726">
        <f>0.86*T56/1000</f>
        <v>15.42572522569596</v>
      </c>
      <c r="U57" s="728">
        <f t="shared" ref="U57:W57" si="103">0.86*U56/1000</f>
        <v>0</v>
      </c>
      <c r="V57" s="680">
        <f t="shared" si="103"/>
        <v>0</v>
      </c>
      <c r="W57" s="686">
        <f t="shared" si="103"/>
        <v>0</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v>
      </c>
      <c r="AH57" s="680">
        <f t="shared" si="107"/>
        <v>0</v>
      </c>
      <c r="AI57" s="686">
        <f>0.86*AI56/1000</f>
        <v>0</v>
      </c>
      <c r="AJ57" s="728">
        <f t="shared" ref="AJ57" si="108">0.86*AJ56/1000</f>
        <v>6.39459963936</v>
      </c>
      <c r="AK57" s="680">
        <f t="shared" ref="AK57" si="109">0.86*AK56/1000</f>
        <v>7.948410117787164</v>
      </c>
      <c r="AL57" s="686">
        <f t="shared" ref="AL57:AM57" si="110">0.86*AL56/1000</f>
        <v>6.1402421694903824</v>
      </c>
      <c r="AM57" s="728">
        <f t="shared" si="110"/>
        <v>14.712453778707696</v>
      </c>
      <c r="AN57" s="680">
        <f t="shared" ref="AN57" si="111">0.86*AN56/1000</f>
        <v>20.808149172499807</v>
      </c>
      <c r="AO57" s="686">
        <f t="shared" ref="AO57:AP57" si="112">0.86*AO56/1000</f>
        <v>21.014578150522063</v>
      </c>
      <c r="AP57" s="728">
        <f t="shared" si="112"/>
        <v>18.683043714166153</v>
      </c>
      <c r="AQ57" s="680">
        <f t="shared" ref="AQ57" si="113">0.86*AQ56/1000</f>
        <v>20.671708659752586</v>
      </c>
      <c r="AR57" s="686">
        <f t="shared" ref="AR57" si="114">0.86*AR56/1000</f>
        <v>23.417196030020516</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 thickBot="1" x14ac:dyDescent="0.35">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3">
      <c r="A59" s="332" t="s">
        <v>1205</v>
      </c>
      <c r="B59" s="322" t="s">
        <v>842</v>
      </c>
      <c r="C59" s="333">
        <f>IF(C143=0,0,B143/C143*D143)*0.024*$D$147</f>
        <v>1017.9072000000001</v>
      </c>
      <c r="D59" s="706">
        <f>C59*($D$38/$C$38)</f>
        <v>1268.392327778651</v>
      </c>
      <c r="E59" s="707">
        <f>C59*($E$38/$C$38)</f>
        <v>1342.0015626549309</v>
      </c>
      <c r="F59" s="74"/>
      <c r="G59" s="334" t="s">
        <v>1205</v>
      </c>
      <c r="H59" s="326" t="s">
        <v>842</v>
      </c>
      <c r="I59" s="343">
        <f>IF($C143=0,0,$B143/$C143*$D143)*0.024*G$147</f>
        <v>198.20160000000001</v>
      </c>
      <c r="J59" s="610">
        <f>I59*($J$38/$I$38)</f>
        <v>233.03415647893277</v>
      </c>
      <c r="K59" s="708">
        <f>I59*($K$38/$I$38)</f>
        <v>237.47404560523302</v>
      </c>
      <c r="L59" s="335">
        <f>IF($C143=0,0,$B143/$C143*$D143)*0.024*H$147</f>
        <v>174.98880000000003</v>
      </c>
      <c r="M59" s="709">
        <f>L59*($M$38/$L$38)</f>
        <v>188.27864829694528</v>
      </c>
      <c r="N59" s="708">
        <f>L59*($N$35/$L$35)</f>
        <v>203.98456672660691</v>
      </c>
      <c r="O59" s="335">
        <f>IF($C143=0,0,$B143/$C143*$D143)*0.024*I$147</f>
        <v>163.38240000000005</v>
      </c>
      <c r="P59" s="711">
        <f>O59*($P$38/$O$38)</f>
        <v>202.34832152043538</v>
      </c>
      <c r="Q59" s="712">
        <f>O59*($Q$38/$O$38)</f>
        <v>222.32415230506621</v>
      </c>
      <c r="R59" s="335">
        <f>IF($C143=0,0,$B143/$C143*$D143)*0.024*J$147</f>
        <v>70.862400000000008</v>
      </c>
      <c r="S59" s="711">
        <f>R59*($S$38/$R$38)</f>
        <v>113.47721878624323</v>
      </c>
      <c r="T59" s="712">
        <f>R59*($T$38/$R$38)</f>
        <v>150.37730945820181</v>
      </c>
      <c r="U59" s="343">
        <f>IF($C143=0,0,$B143/$C143*$D143)*0.024*K$147</f>
        <v>0</v>
      </c>
      <c r="V59" s="711">
        <f>IFERROR(U59*($V$38/$U$38),0)</f>
        <v>0</v>
      </c>
      <c r="W59" s="712">
        <f>IFERROR(U59*($W$38/$U$38),0)</f>
        <v>0</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0</v>
      </c>
      <c r="AH59" s="711">
        <f>IFERROR(AG59*($AH$38/$AG$38),)</f>
        <v>0</v>
      </c>
      <c r="AI59" s="712">
        <f>IFERROR(AG59*($AI$35/$AG$35),0)</f>
        <v>0</v>
      </c>
      <c r="AJ59" s="335">
        <f>IF($C143=0,0,$B143/$C143*$D143)*0.024*P$147</f>
        <v>62.337600000000002</v>
      </c>
      <c r="AK59" s="711">
        <f>AJ59*($AK$38/$AJ$38)</f>
        <v>77.484883886829152</v>
      </c>
      <c r="AL59" s="712">
        <f>AJ59*($AL$38/$AJ$38)</f>
        <v>59.858002353863199</v>
      </c>
      <c r="AM59" s="335">
        <f>IF($C143=0,0,$B143/$C143*$D143)*0.024*Q$147</f>
        <v>143.42400000000004</v>
      </c>
      <c r="AN59" s="711">
        <f>AM59*($AN$38/$AM$38)</f>
        <v>202.84773918785109</v>
      </c>
      <c r="AO59" s="712">
        <f>AM59*($AO$38/$AM$38)</f>
        <v>204.86010708984662</v>
      </c>
      <c r="AP59" s="335">
        <f>IF($C143=0,0,$B143/$C143*$D143)*0.024*R$147</f>
        <v>182.13120000000001</v>
      </c>
      <c r="AQ59" s="711">
        <f>AP59*($AQ$38/$AP$38)</f>
        <v>201.51765214767443</v>
      </c>
      <c r="AR59" s="712">
        <f>AP59*($AR$38/$AP$38)</f>
        <v>228.2819694067833</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3">
      <c r="A60" s="358" t="s">
        <v>874</v>
      </c>
      <c r="B60" s="359" t="s">
        <v>1184</v>
      </c>
      <c r="C60" s="731"/>
      <c r="D60" s="377">
        <f>0.86*D59/1000</f>
        <v>1.0908174018896397</v>
      </c>
      <c r="E60" s="676">
        <f>0.86*E59/1000</f>
        <v>1.1541213438832405</v>
      </c>
      <c r="F60" s="74"/>
      <c r="G60" s="379" t="s">
        <v>874</v>
      </c>
      <c r="H60" s="380" t="s">
        <v>1184</v>
      </c>
      <c r="I60" s="728">
        <f t="shared" ref="I60:W60" si="115">0.86*I59/1000</f>
        <v>0.17045337600000002</v>
      </c>
      <c r="J60" s="680">
        <f t="shared" si="115"/>
        <v>0.20040937457188218</v>
      </c>
      <c r="K60" s="713">
        <f t="shared" si="115"/>
        <v>0.20422767922050039</v>
      </c>
      <c r="L60" s="728">
        <f t="shared" ref="L60" si="116">0.86*L59/1000</f>
        <v>0.15049036800000001</v>
      </c>
      <c r="M60" s="683">
        <f t="shared" si="115"/>
        <v>0.16191963753537295</v>
      </c>
      <c r="N60" s="681">
        <f t="shared" si="115"/>
        <v>0.17542672738488196</v>
      </c>
      <c r="O60" s="728">
        <f t="shared" si="115"/>
        <v>0.14050886400000004</v>
      </c>
      <c r="P60" s="683">
        <f t="shared" si="115"/>
        <v>0.17401955650757445</v>
      </c>
      <c r="Q60" s="681">
        <f t="shared" si="115"/>
        <v>0.19119877098235694</v>
      </c>
      <c r="R60" s="728">
        <f t="shared" si="115"/>
        <v>6.0941664E-2</v>
      </c>
      <c r="S60" s="725">
        <f t="shared" si="115"/>
        <v>9.7590408156169178E-2</v>
      </c>
      <c r="T60" s="726">
        <f t="shared" si="115"/>
        <v>0.12932448613405356</v>
      </c>
      <c r="U60" s="728">
        <f t="shared" si="115"/>
        <v>0</v>
      </c>
      <c r="V60" s="680">
        <f t="shared" si="115"/>
        <v>0</v>
      </c>
      <c r="W60" s="686">
        <f t="shared" si="115"/>
        <v>0</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0</v>
      </c>
      <c r="AH60" s="680">
        <f t="shared" si="120"/>
        <v>0</v>
      </c>
      <c r="AI60" s="686">
        <f>0.86*AI59/1000</f>
        <v>0</v>
      </c>
      <c r="AJ60" s="728">
        <f t="shared" ref="AJ60" si="121">0.86*AJ59/1000</f>
        <v>5.3610336000000001E-2</v>
      </c>
      <c r="AK60" s="680">
        <f t="shared" ref="AK60" si="122">0.86*AK59/1000</f>
        <v>6.663700014267307E-2</v>
      </c>
      <c r="AL60" s="686">
        <f t="shared" ref="AL60:AM60" si="123">0.86*AL59/1000</f>
        <v>5.1477882024322345E-2</v>
      </c>
      <c r="AM60" s="728">
        <f t="shared" si="123"/>
        <v>0.12334464000000003</v>
      </c>
      <c r="AN60" s="680">
        <f t="shared" ref="AN60" si="124">0.86*AN59/1000</f>
        <v>0.17444905570155195</v>
      </c>
      <c r="AO60" s="686">
        <f t="shared" ref="AO60:AP60" si="125">0.86*AO59/1000</f>
        <v>0.17617969209726808</v>
      </c>
      <c r="AP60" s="728">
        <f t="shared" si="125"/>
        <v>0.156632832</v>
      </c>
      <c r="AQ60" s="680">
        <f t="shared" ref="AQ60" si="126">0.86*AQ59/1000</f>
        <v>0.173305180847</v>
      </c>
      <c r="AR60" s="686">
        <f t="shared" ref="AR60" si="127">0.86*AR59/1000</f>
        <v>0.19632249368983362</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 thickBot="1" x14ac:dyDescent="0.35">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3">
      <c r="A62" s="329" t="s">
        <v>1198</v>
      </c>
      <c r="B62" s="322" t="s">
        <v>842</v>
      </c>
      <c r="C62" s="324">
        <f>(D151*D152*'Ввод исходных данных'!$D$22*0.28)*D147*0.024+D154*D192+D161</f>
        <v>243795.64807317976</v>
      </c>
      <c r="D62" s="672">
        <f>C62*(($D$35+$D$71)/($C$35+$C$71))</f>
        <v>303788.52763969568</v>
      </c>
      <c r="E62" s="672">
        <f>$C62*(($E$35+$E$71)/($C$35+$C$71))</f>
        <v>321418.43645734974</v>
      </c>
      <c r="F62" s="74"/>
      <c r="G62" s="344" t="s">
        <v>1198</v>
      </c>
      <c r="H62" s="326" t="s">
        <v>842</v>
      </c>
      <c r="I62" s="328">
        <f>($D$151*$D$152*'Ввод исходных данных'!$D$22*0.28)*G$147*0.024+G192*$D$154+G161</f>
        <v>47470.621605919616</v>
      </c>
      <c r="J62" s="672">
        <f>I62*((J$35+J$71)/(I$35+I$71))</f>
        <v>55813.254098181234</v>
      </c>
      <c r="K62" s="672">
        <f>IFERROR(I62*((K$35+K$71)/(I$35+I$71)),0)</f>
        <v>56876.6375253929</v>
      </c>
      <c r="L62" s="328">
        <f>($D$151*$D$152*'Ввод исходных данных'!$D$22*0.28)*H$147*0.024+H192*$D$154+H161</f>
        <v>41910.999255676783</v>
      </c>
      <c r="M62" s="672">
        <f>L62*((M$35+M$71)/(L$35+L$71))</f>
        <v>45094.007665822632</v>
      </c>
      <c r="N62" s="672">
        <f>IFERROR(L62*((N$35+N$71)/(L$35+L$71)),0)</f>
        <v>47412.701563780887</v>
      </c>
      <c r="O62" s="328">
        <f>($D$151*$D$152*'Ввод исходных данных'!$D$22*0.28)*I$147*0.024+I192*$D$154+I161</f>
        <v>39131.188080555366</v>
      </c>
      <c r="P62" s="672">
        <f>O62*((P$35+P$71)/(O$35+O$71))</f>
        <v>48463.789411838996</v>
      </c>
      <c r="Q62" s="672">
        <f>IFERROR(O62*((Q$35+Q$71)/(O$35+O$71)),0)</f>
        <v>53248.135776555981</v>
      </c>
      <c r="R62" s="328">
        <f>($D$151*$D$152*'Ввод исходных данных'!$D$22*0.28)*J$147*0.024+J192*$D$154+J161</f>
        <v>16972.023316094921</v>
      </c>
      <c r="S62" s="672">
        <f>R62*((S$35+S$71)/(R$35+R$71))</f>
        <v>27178.560182631754</v>
      </c>
      <c r="T62" s="672">
        <f>IFERROR(R62*((T$35+T$71)/(R$35+R$71)),0)</f>
        <v>36016.381075665267</v>
      </c>
      <c r="U62" s="328">
        <f>($D$151*$D$152*'Ввод исходных данных'!$D$22*0.28)*K$147*0.024+K192*$D$154+K161</f>
        <v>0</v>
      </c>
      <c r="V62" s="672">
        <f>IFERROR(U62*((V$35+V$71)/(U$35+U$71)),0)</f>
        <v>0</v>
      </c>
      <c r="W62" s="672">
        <f>IFERROR(U62*((W$35+W$71)/(U$35+U$71)),0)</f>
        <v>0</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0</v>
      </c>
      <c r="AH62" s="672">
        <f>IFERROR(AG62*((AH$35+AH$71)/(AG$35+AG$71)),0)</f>
        <v>0</v>
      </c>
      <c r="AI62" s="672">
        <f>IFERROR(AG62*((AI$35+AI$71)/(AG$35+AG$71)),0)</f>
        <v>0</v>
      </c>
      <c r="AJ62" s="328">
        <f>($D$151*$D$152*'Ввод исходных данных'!$D$22*0.28)*P$147*0.024+P192*$D$154+P161</f>
        <v>14930.276150248914</v>
      </c>
      <c r="AK62" s="672">
        <f>IFERROR(AJ62*((AK$35+AK$71)/(AJ$35+AJ$71)),0)</f>
        <v>18558.152926970746</v>
      </c>
      <c r="AL62" s="672">
        <f>IFERROR(AJ62*((AL$35+AL$71)/(AJ$35+AJ$71)),0)</f>
        <v>14336.395769895329</v>
      </c>
      <c r="AM62" s="328">
        <f>($D$151*$D$152*'Ввод исходных данных'!$D$22*0.28)*Q$147*0.024+Q192*$D$154+Q161</f>
        <v>34351.016506463202</v>
      </c>
      <c r="AN62" s="672">
        <f>IFERROR(AM62*((AN$35+AN$71)/(AM$35+AM$71)),0)</f>
        <v>48583.403315627882</v>
      </c>
      <c r="AO62" s="672">
        <f>IFERROR(AM62*((AO$35+AO$71)/(AM$35+AM$71)),0)</f>
        <v>49065.379017173829</v>
      </c>
      <c r="AP62" s="328">
        <f>($D$151*$D$152*'Ввод исходных данных'!$D$22*0.28)*R$147*0.024+R192*$D$154+R161</f>
        <v>43621.652286520737</v>
      </c>
      <c r="AQ62" s="672">
        <f>IFERROR(AP62*((AQ$35+AQ$71)/(AP$35+AP$71)),0)</f>
        <v>48264.83848775988</v>
      </c>
      <c r="AR62" s="672">
        <f>IFERROR(AP62*((AR$35+AR$71)/(AP$35+AP$71)),0)</f>
        <v>54675.073204068634</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3">
      <c r="A63" s="358" t="s">
        <v>874</v>
      </c>
      <c r="B63" s="359" t="s">
        <v>1184</v>
      </c>
      <c r="C63" s="658">
        <f>0.86*C62/1000</f>
        <v>209.66425734293458</v>
      </c>
      <c r="D63" s="377">
        <f>0.86*D62/1000</f>
        <v>261.25813377013827</v>
      </c>
      <c r="E63" s="732">
        <f>0.86*E62/1000</f>
        <v>276.41985535332077</v>
      </c>
      <c r="F63" s="74"/>
      <c r="G63" s="379" t="s">
        <v>874</v>
      </c>
      <c r="H63" s="380" t="s">
        <v>1184</v>
      </c>
      <c r="I63" s="728">
        <f t="shared" ref="I63:O63" si="128">0.86*I62/1000</f>
        <v>40.824734581090866</v>
      </c>
      <c r="J63" s="680">
        <f t="shared" si="128"/>
        <v>47.999398524435861</v>
      </c>
      <c r="K63" s="713">
        <f t="shared" si="128"/>
        <v>48.91390827183789</v>
      </c>
      <c r="L63" s="733">
        <f t="shared" si="128"/>
        <v>36.043459359882036</v>
      </c>
      <c r="M63" s="683">
        <f t="shared" si="128"/>
        <v>38.780846592607467</v>
      </c>
      <c r="N63" s="681">
        <f t="shared" si="128"/>
        <v>40.774923344851558</v>
      </c>
      <c r="O63" s="370">
        <f t="shared" si="128"/>
        <v>33.652821749277614</v>
      </c>
      <c r="P63" s="717">
        <f t="shared" ref="P63:P66" si="129">O63*($P$35/$O$35)</f>
        <v>44.241839239585751</v>
      </c>
      <c r="Q63" s="718">
        <f t="shared" ref="Q63" si="130">O63*($Q$35/$O$35)</f>
        <v>49.670285772050264</v>
      </c>
      <c r="R63" s="685">
        <f>0.86*R62/1000</f>
        <v>14.595940051841632</v>
      </c>
      <c r="S63" s="725">
        <f>0.86*S62/1000</f>
        <v>23.373561757063307</v>
      </c>
      <c r="T63" s="726">
        <f>0.86*T62/1000</f>
        <v>30.974087725072128</v>
      </c>
      <c r="U63" s="370">
        <f>0.86*U62/1000</f>
        <v>0</v>
      </c>
      <c r="V63" s="680">
        <f t="shared" ref="V63:W63" si="131">0.86*V62/1000</f>
        <v>0</v>
      </c>
      <c r="W63" s="686">
        <f t="shared" si="131"/>
        <v>0</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0</v>
      </c>
      <c r="AH63" s="680">
        <f t="shared" ref="AH63" si="135">0.86*AH62/1000</f>
        <v>0</v>
      </c>
      <c r="AI63" s="686">
        <f>0.86*AI62/1000</f>
        <v>0</v>
      </c>
      <c r="AJ63" s="682">
        <f>0.86*AJ62/1000</f>
        <v>12.840037489214065</v>
      </c>
      <c r="AK63" s="680">
        <f t="shared" ref="AK63" si="136">0.86*AK62/1000</f>
        <v>15.960011517194841</v>
      </c>
      <c r="AL63" s="686">
        <f t="shared" ref="AL63" si="137">0.86*AL62/1000</f>
        <v>12.329300362109983</v>
      </c>
      <c r="AM63" s="685">
        <f>0.86*AM62/1000</f>
        <v>29.541874195558353</v>
      </c>
      <c r="AN63" s="680">
        <f t="shared" ref="AN63" si="138">0.86*AN62/1000</f>
        <v>41.781726851439977</v>
      </c>
      <c r="AO63" s="686">
        <f t="shared" ref="AO63" si="139">0.86*AO62/1000</f>
        <v>42.196225954769496</v>
      </c>
      <c r="AP63" s="685">
        <f>0.86*AP62/1000</f>
        <v>37.514620966407833</v>
      </c>
      <c r="AQ63" s="680">
        <f t="shared" ref="AQ63" si="140">0.86*AQ62/1000</f>
        <v>41.507761099473491</v>
      </c>
      <c r="AR63" s="686">
        <f t="shared" ref="AR63" si="141">0.86*AR62/1000</f>
        <v>47.020562955499024</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 thickBot="1" x14ac:dyDescent="0.35">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3">
      <c r="A65" s="671" t="s">
        <v>1206</v>
      </c>
      <c r="B65" s="650" t="s">
        <v>842</v>
      </c>
      <c r="C65" s="324">
        <f>(C62+C38-C71*$D$156)*($D$158-1)</f>
        <v>61805.831158961279</v>
      </c>
      <c r="D65" s="672">
        <f>C65*(($D$35+$D$71)/($C$35+$C$71))</f>
        <v>77014.920470165816</v>
      </c>
      <c r="E65" s="672">
        <f>$C65*(($E$35+$E$71)/($C$35+$C$71))</f>
        <v>81484.365172495935</v>
      </c>
      <c r="F65" s="74"/>
      <c r="G65" s="735" t="s">
        <v>1206</v>
      </c>
      <c r="H65" s="736" t="s">
        <v>842</v>
      </c>
      <c r="I65" s="347">
        <f>(I62+I38-I71*$D$156)*($D$158-1)</f>
        <v>12339.634447786106</v>
      </c>
      <c r="J65" s="672">
        <f>I65*((J$35+J$71)/(I$35+I$71))</f>
        <v>14508.239614605616</v>
      </c>
      <c r="K65" s="672">
        <f>IFERROR(I65*((K$35+K$71)/(I$35+I$71)),0)</f>
        <v>14784.658214693836</v>
      </c>
      <c r="L65" s="349">
        <f>(L62+L38-L71*$D$156)*($D$158-1)</f>
        <v>10860.130321627477</v>
      </c>
      <c r="M65" s="672">
        <f>L65*((M$35+M$71)/(L$35+L$71))</f>
        <v>11684.923019557198</v>
      </c>
      <c r="N65" s="672">
        <f>IFERROR(L65*((N$35+N$71)/(L$35+L$71)),0)</f>
        <v>12285.751402439964</v>
      </c>
      <c r="O65" s="737">
        <f>(O62+O38-O71*$D$156)*($D$158-1)</f>
        <v>9875.4683182517601</v>
      </c>
      <c r="P65" s="672">
        <f>O65*((P$35+P$71)/(O$35+O$71))</f>
        <v>12230.720312753881</v>
      </c>
      <c r="Q65" s="672">
        <f>IFERROR(O65*((Q$35+Q$71)/(O$35+O$71)),0)</f>
        <v>13438.137293067428</v>
      </c>
      <c r="R65" s="737">
        <f>(R62+R38-R71*$D$156)*($D$158-1)</f>
        <v>4198.5886702438029</v>
      </c>
      <c r="S65" s="672">
        <f>R65*((S$35+S$71)/(R$35+R$71))</f>
        <v>6723.511553753443</v>
      </c>
      <c r="T65" s="672">
        <f>IFERROR(R65*((T$35+T$71)/(R$35+R$71)),0)</f>
        <v>8909.8374843775018</v>
      </c>
      <c r="U65" s="374">
        <f>(U62+U38-U71*$D$156)*($D$158-1)</f>
        <v>0</v>
      </c>
      <c r="V65" s="672">
        <f>IFERROR(U65*((V$35+V$71)/(U$35+U$71)),0)</f>
        <v>0</v>
      </c>
      <c r="W65" s="672">
        <f>IFERROR(U65*((W$35+W$71)/(U$35+U$71)),0)</f>
        <v>0</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0</v>
      </c>
      <c r="AH65" s="672">
        <f>IFERROR(AG65*((AH$35+AH$71)/(AG$35+AG$71)),0)</f>
        <v>0</v>
      </c>
      <c r="AI65" s="672">
        <f>IFERROR(AG65*((AI$35+AI$71)/(AG$35+AG$71)),0)</f>
        <v>0</v>
      </c>
      <c r="AJ65" s="737">
        <f>(AJ62+AJ38-AJ71*$D$156)*($D$158-1)</f>
        <v>3051.0414847418697</v>
      </c>
      <c r="AK65" s="672">
        <f>IFERROR(AJ65*((AK$35+AK$71)/(AJ$35+AJ$71)),0)</f>
        <v>3792.4077150728062</v>
      </c>
      <c r="AL65" s="672">
        <f>IFERROR(AJ65*((AL$35+AL$71)/(AJ$35+AJ$71)),0)</f>
        <v>2929.6804557027076</v>
      </c>
      <c r="AM65" s="347">
        <f>(AM62+AM38-AM71*$D$156)*($D$158-1)</f>
        <v>8517.4302781571896</v>
      </c>
      <c r="AN65" s="672">
        <f>IFERROR(AM65*((AN$35+AN$71)/(AM$35+AM$71)),0)</f>
        <v>12046.390252777324</v>
      </c>
      <c r="AO65" s="672">
        <f>IFERROR(AM65*((AO$35+AO$71)/(AM$35+AM$71)),0)</f>
        <v>12165.897471229247</v>
      </c>
      <c r="AP65" s="740">
        <f>(AP62+AP38-AP71*$D$156)*($D$158-1)</f>
        <v>11202.327003385639</v>
      </c>
      <c r="AQ65" s="672">
        <f>IFERROR(AP65*((AQ$35+AQ$71)/(AP$35+AP$71)),0)</f>
        <v>12394.727736449147</v>
      </c>
      <c r="AR65" s="672">
        <f>IFERROR(AP65*((AR$35+AR$71)/(AP$35+AP$71)),0)</f>
        <v>14040.918141821187</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3">
      <c r="A66" s="358" t="s">
        <v>874</v>
      </c>
      <c r="B66" s="359" t="s">
        <v>1184</v>
      </c>
      <c r="C66" s="658">
        <f>0.86*C65/1000</f>
        <v>53.153014796706699</v>
      </c>
      <c r="D66" s="377">
        <f>0.86*D65/1000</f>
        <v>66.232831604342607</v>
      </c>
      <c r="E66" s="732">
        <f>0.86*E65/1000</f>
        <v>70.076554048346495</v>
      </c>
      <c r="F66" s="74"/>
      <c r="G66" s="379" t="s">
        <v>874</v>
      </c>
      <c r="H66" s="380" t="s">
        <v>1184</v>
      </c>
      <c r="I66" s="723">
        <f t="shared" ref="I66:O66" si="142">0.86*I65/1000</f>
        <v>10.612085625096052</v>
      </c>
      <c r="J66" s="680">
        <f t="shared" si="142"/>
        <v>12.47708606856083</v>
      </c>
      <c r="K66" s="724">
        <f t="shared" si="142"/>
        <v>12.714806064636699</v>
      </c>
      <c r="L66" s="741">
        <f t="shared" si="142"/>
        <v>9.3397120765996302</v>
      </c>
      <c r="M66" s="683">
        <f t="shared" si="142"/>
        <v>10.04903379681919</v>
      </c>
      <c r="N66" s="681">
        <f t="shared" si="142"/>
        <v>10.565746206098369</v>
      </c>
      <c r="O66" s="728">
        <f t="shared" si="142"/>
        <v>8.492902753696514</v>
      </c>
      <c r="P66" s="717">
        <f t="shared" si="129"/>
        <v>11.165234258982812</v>
      </c>
      <c r="Q66" s="718">
        <f t="shared" ref="Q66" si="143">O66*($Q$35/$O$35)</f>
        <v>12.535201652723035</v>
      </c>
      <c r="R66" s="742">
        <f>0.86*R65/1000</f>
        <v>3.6107862564096704</v>
      </c>
      <c r="S66" s="725">
        <f>0.86*S65/1000</f>
        <v>5.7822199362279605</v>
      </c>
      <c r="T66" s="726">
        <f>0.86*T65/1000</f>
        <v>7.6624602365646517</v>
      </c>
      <c r="U66" s="685">
        <f>0.86*U65/1000</f>
        <v>0</v>
      </c>
      <c r="V66" s="680">
        <f t="shared" ref="V66:W66" si="144">0.86*V65/1000</f>
        <v>0</v>
      </c>
      <c r="W66" s="686">
        <f t="shared" si="144"/>
        <v>0</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v>
      </c>
      <c r="AH66" s="680">
        <f t="shared" ref="AH66" si="148">0.86*AH65/1000</f>
        <v>0</v>
      </c>
      <c r="AI66" s="686">
        <f>0.86*AI65/1000</f>
        <v>0</v>
      </c>
      <c r="AJ66" s="723">
        <f t="shared" ref="AJ66" si="149">0.86*AJ65/1000</f>
        <v>2.623895676878008</v>
      </c>
      <c r="AK66" s="680">
        <f t="shared" ref="AK66" si="150">0.86*AK65/1000</f>
        <v>3.2614706349626137</v>
      </c>
      <c r="AL66" s="724">
        <f t="shared" ref="AL66" si="151">0.86*AL65/1000</f>
        <v>2.5195251919043287</v>
      </c>
      <c r="AM66" s="682">
        <f>0.86*AM65/1000</f>
        <v>7.3249900392151828</v>
      </c>
      <c r="AN66" s="680">
        <f t="shared" ref="AN66" si="152">0.86*AN65/1000</f>
        <v>10.359895617388498</v>
      </c>
      <c r="AO66" s="686">
        <f t="shared" ref="AO66" si="153">0.86*AO65/1000</f>
        <v>10.462671825257152</v>
      </c>
      <c r="AP66" s="688">
        <f>0.86*AP65/1000</f>
        <v>9.6340012229116496</v>
      </c>
      <c r="AQ66" s="680">
        <f t="shared" ref="AQ66" si="154">0.86*AQ65/1000</f>
        <v>10.659465853346266</v>
      </c>
      <c r="AR66" s="686">
        <f t="shared" ref="AR66" si="155">0.86*AR65/1000</f>
        <v>12.075189601966219</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5">
      <c r="A67" s="385" t="s">
        <v>874</v>
      </c>
      <c r="B67" s="386" t="s">
        <v>1181</v>
      </c>
      <c r="C67" s="620"/>
      <c r="D67" s="690"/>
      <c r="E67" s="734">
        <f>(E65/$E$35)*100</f>
        <v>6.0871702351759431</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3">
      <c r="A68" s="671" t="s">
        <v>1200</v>
      </c>
      <c r="B68" s="650" t="s">
        <v>842</v>
      </c>
      <c r="C68" s="348">
        <f>C71*(1-$D$156)</f>
        <v>146168.47230388489</v>
      </c>
      <c r="D68" s="672">
        <f>C68*(($D$35+$D$71)/($C$35+$C$71))</f>
        <v>182137.39801955799</v>
      </c>
      <c r="E68" s="672">
        <f>$C68*(($E$35+$E$71)/($C$35+$C$71))</f>
        <v>192707.46708805821</v>
      </c>
      <c r="F68" s="74"/>
      <c r="G68" s="735" t="s">
        <v>1200</v>
      </c>
      <c r="H68" s="736" t="s">
        <v>842</v>
      </c>
      <c r="I68" s="327">
        <f>I71*(1-$D$156)</f>
        <v>24102.24809266187</v>
      </c>
      <c r="J68" s="672">
        <f>I68*((J$35+J$71)/(I$35+I$71))</f>
        <v>28338.05102239046</v>
      </c>
      <c r="K68" s="672">
        <f>IFERROR(I68*((K$35+K$71)/(I$35+I$71)),0)</f>
        <v>28877.962452096377</v>
      </c>
      <c r="L68" s="349">
        <f>L71*(1-$D$156)</f>
        <v>21769.772470791366</v>
      </c>
      <c r="M68" s="672">
        <f>L68*((M$35+M$71)/(L$35+L$71))</f>
        <v>23423.118134032855</v>
      </c>
      <c r="N68" s="672">
        <f>IFERROR(L68*((N$35+N$71)/(L$35+L$71)),0)</f>
        <v>24627.514103692931</v>
      </c>
      <c r="O68" s="347">
        <f>O71*(1-$D$156)</f>
        <v>24102.24809266187</v>
      </c>
      <c r="P68" s="672">
        <f>O68*((P$35+P$71)/(O$35+O$71))</f>
        <v>29850.51906704298</v>
      </c>
      <c r="Q68" s="672">
        <f>IFERROR(O68*((Q$35+Q$71)/(O$35+O$71)),0)</f>
        <v>32797.362970842929</v>
      </c>
      <c r="R68" s="349">
        <f>R71*(1-$D$156)</f>
        <v>11662.378109352518</v>
      </c>
      <c r="S68" s="672">
        <f>R68*((S$35+S$71)/(R$35+R$71))</f>
        <v>18675.831361665554</v>
      </c>
      <c r="T68" s="672">
        <f>IFERROR(R68*((T$35+T$71)/(R$35+R$71)),0)</f>
        <v>24748.767216022348</v>
      </c>
      <c r="U68" s="744">
        <f>U71*(1-$D$156)</f>
        <v>0</v>
      </c>
      <c r="V68" s="672">
        <f>IFERROR(U68*((V$35+V$71)/(U$35+U$71)),0)</f>
        <v>0</v>
      </c>
      <c r="W68" s="672">
        <f>IFERROR(U68*((W$35+W$71)/(U$35+U$71)),0)</f>
        <v>0</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19437.296848920865</v>
      </c>
      <c r="AK68" s="672">
        <f>IFERROR(AJ68*((AK$35+AK$71)/(AJ$35+AJ$71)),0)</f>
        <v>24160.325219650153</v>
      </c>
      <c r="AL68" s="672">
        <f>IFERROR(AJ68*((AL$35+AL$71)/(AJ$35+AJ$71)),0)</f>
        <v>18664.141072730468</v>
      </c>
      <c r="AM68" s="327">
        <f>AM71*(1-$D$156)</f>
        <v>23324.756218705035</v>
      </c>
      <c r="AN68" s="672">
        <f>IFERROR(AM68*((AN$35+AN$71)/(AM$35+AM$71)),0)</f>
        <v>32988.719224621302</v>
      </c>
      <c r="AO68" s="672">
        <f>IFERROR(AM68*((AO$35+AO$71)/(AM$35+AM$71)),0)</f>
        <v>33315.986562977458</v>
      </c>
      <c r="AP68" s="746">
        <f>AP71*(1-$D$156)</f>
        <v>24102.24809266187</v>
      </c>
      <c r="AQ68" s="672">
        <f>IFERROR(AP68*((AQ$35+AQ$71)/(AP$35+AP$71)),0)</f>
        <v>26667.745268872022</v>
      </c>
      <c r="AR68" s="672">
        <f>IFERROR(AP68*((AR$35+AR$71)/(AP$35+AP$71)),0)</f>
        <v>30209.588811382881</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3">
      <c r="A69" s="358" t="s">
        <v>874</v>
      </c>
      <c r="B69" s="359" t="s">
        <v>1184</v>
      </c>
      <c r="C69" s="361">
        <f>0.86*C68/1000</f>
        <v>125.70488618134101</v>
      </c>
      <c r="D69" s="367">
        <f>0.86*D68/1000</f>
        <v>156.63816229681987</v>
      </c>
      <c r="E69" s="747">
        <f>0.86*E68/1000</f>
        <v>165.72842169573008</v>
      </c>
      <c r="F69" s="74"/>
      <c r="G69" s="379" t="s">
        <v>874</v>
      </c>
      <c r="H69" s="380" t="s">
        <v>1184</v>
      </c>
      <c r="I69" s="748">
        <f>0.86*I68/1000</f>
        <v>20.727933359689207</v>
      </c>
      <c r="J69" s="749">
        <f t="shared" ref="J69:M69" si="156">0.86*J68/1000</f>
        <v>24.370723879255795</v>
      </c>
      <c r="K69" s="750">
        <f t="shared" si="156"/>
        <v>24.835047708802886</v>
      </c>
      <c r="L69" s="741">
        <f>0.86*L68/1000</f>
        <v>18.722004324880576</v>
      </c>
      <c r="M69" s="749">
        <f t="shared" si="156"/>
        <v>20.143881595268255</v>
      </c>
      <c r="N69" s="750">
        <f t="shared" ref="N69" si="157">0.86*N68/1000</f>
        <v>21.179662129175917</v>
      </c>
      <c r="O69" s="682">
        <f>0.86*O68/1000</f>
        <v>20.727933359689207</v>
      </c>
      <c r="P69" s="749">
        <f t="shared" ref="P69" si="158">0.86*P68/1000</f>
        <v>25.671446397656965</v>
      </c>
      <c r="Q69" s="750">
        <f t="shared" ref="Q69" si="159">0.86*Q68/1000</f>
        <v>28.205732154924917</v>
      </c>
      <c r="R69" s="743">
        <f>0.86*R68/1000</f>
        <v>10.029645174043166</v>
      </c>
      <c r="S69" s="749">
        <f t="shared" ref="S69" si="160">0.86*S68/1000</f>
        <v>16.061214971032374</v>
      </c>
      <c r="T69" s="750">
        <f t="shared" ref="T69" si="161">0.86*T68/1000</f>
        <v>21.28393980577922</v>
      </c>
      <c r="U69" s="751">
        <f>0.86*U68/1000</f>
        <v>0</v>
      </c>
      <c r="V69" s="680">
        <f t="shared" ref="V69:W69" si="162">0.86*V68/1000</f>
        <v>0</v>
      </c>
      <c r="W69" s="686">
        <f t="shared" si="162"/>
        <v>0</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16.716075290071945</v>
      </c>
      <c r="AK69" s="749">
        <f t="shared" ref="AK69" si="167">0.86*AK68/1000</f>
        <v>20.77787968889913</v>
      </c>
      <c r="AL69" s="724">
        <f t="shared" ref="AL69" si="168">0.86*AL68/1000</f>
        <v>16.051161322548204</v>
      </c>
      <c r="AM69" s="723">
        <f>0.86*AM68/1000</f>
        <v>20.059290348086332</v>
      </c>
      <c r="AN69" s="680">
        <f t="shared" ref="AN69:AO69" si="169">0.86*AN68/1000</f>
        <v>28.370298533174317</v>
      </c>
      <c r="AO69" s="752">
        <f t="shared" si="169"/>
        <v>28.651748444160614</v>
      </c>
      <c r="AP69" s="753">
        <f>0.86*AP68/1000</f>
        <v>20.727933359689207</v>
      </c>
      <c r="AQ69" s="680">
        <f t="shared" ref="AQ69:AR69" si="170">0.86*AQ68/1000</f>
        <v>22.934260931229939</v>
      </c>
      <c r="AR69" s="752">
        <f t="shared" si="170"/>
        <v>25.980246377789278</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5">
      <c r="A70" s="385" t="s">
        <v>874</v>
      </c>
      <c r="B70" s="386" t="s">
        <v>1181</v>
      </c>
      <c r="C70" s="754">
        <f>(C68/$C$35)*100</f>
        <v>15.47171721897154</v>
      </c>
      <c r="D70" s="755">
        <f>(D68/$E$35)*100</f>
        <v>13.60630773265539</v>
      </c>
      <c r="E70" s="734">
        <f>(E68/$E$35)*100</f>
        <v>14.395929271478478</v>
      </c>
      <c r="F70" s="74"/>
      <c r="G70" s="362" t="s">
        <v>874</v>
      </c>
      <c r="H70" s="388" t="s">
        <v>1181</v>
      </c>
      <c r="I70" s="756">
        <f>(I68/I35)*100</f>
        <v>12.778195271288128</v>
      </c>
      <c r="J70" s="757">
        <f t="shared" ref="J70:K70" si="171">(J68/J35)*100</f>
        <v>12.308026575546547</v>
      </c>
      <c r="K70" s="758">
        <f t="shared" si="171"/>
        <v>12.260036246935007</v>
      </c>
      <c r="L70" s="756">
        <f>(L68/L35)*100</f>
        <v>13.113937680397884</v>
      </c>
      <c r="M70" s="757">
        <f t="shared" ref="M70" si="172">(M68/M35)*100</f>
        <v>12.875569376530427</v>
      </c>
      <c r="N70" s="758">
        <f t="shared" ref="N70" si="173">(N68/N35)*100</f>
        <v>12.726610262084904</v>
      </c>
      <c r="O70" s="756">
        <f>(O68/O35)*100</f>
        <v>15.96666137429704</v>
      </c>
      <c r="P70" s="757">
        <f t="shared" ref="P70" si="174">(P68/P35)*100</f>
        <v>15.041694420223564</v>
      </c>
      <c r="Q70" s="758">
        <f t="shared" ref="Q70" si="175">(Q68/Q35)*100</f>
        <v>14.720423851121311</v>
      </c>
      <c r="R70" s="756">
        <f>(R68/R35)*100</f>
        <v>18.171804277288615</v>
      </c>
      <c r="S70" s="757">
        <f t="shared" ref="S70" si="176">(S68/S35)*100</f>
        <v>15.989501819316528</v>
      </c>
      <c r="T70" s="758">
        <f t="shared" ref="T70" si="177">(T68/T35)*100</f>
        <v>15.2425790781686</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3">
      <c r="A71" s="350" t="s">
        <v>1202</v>
      </c>
      <c r="B71" s="351" t="s">
        <v>842</v>
      </c>
      <c r="C71" s="352">
        <f>D148*D150*D146*0.024*D157</f>
        <v>292336.94460776978</v>
      </c>
      <c r="D71" s="759">
        <f>C71</f>
        <v>292336.94460776978</v>
      </c>
      <c r="E71" s="760">
        <f>C71</f>
        <v>292336.94460776978</v>
      </c>
      <c r="F71" s="419"/>
      <c r="G71" s="344" t="s">
        <v>1202</v>
      </c>
      <c r="H71" s="346" t="s">
        <v>842</v>
      </c>
      <c r="I71" s="353">
        <f>$D$148*D150*'Ввод исходных данных'!I252*0.024*$D$157</f>
        <v>48204.49618532374</v>
      </c>
      <c r="J71" s="761">
        <f>IF('Ввод исходных данных'!D186&lt;&gt;0,I71,0)</f>
        <v>48204.49618532374</v>
      </c>
      <c r="K71" s="708">
        <f>J71</f>
        <v>48204.49618532374</v>
      </c>
      <c r="L71" s="353">
        <f>$D$148*D150*'Ввод исходных данных'!I253*0.024*$D$157</f>
        <v>43539.544941582732</v>
      </c>
      <c r="M71" s="761">
        <f>IF('Ввод исходных данных'!D187&lt;&gt;0,L71,0)</f>
        <v>43539.544941582732</v>
      </c>
      <c r="N71" s="708">
        <f>M71</f>
        <v>43539.544941582732</v>
      </c>
      <c r="O71" s="353">
        <f>$D$148*D150*'Ввод исходных данных'!I254*0.024*$D$157</f>
        <v>48204.49618532374</v>
      </c>
      <c r="P71" s="761">
        <f>IF('Ввод исходных данных'!D188&lt;&gt;0,O71,0)</f>
        <v>48204.49618532374</v>
      </c>
      <c r="Q71" s="708">
        <f>P71</f>
        <v>48204.49618532374</v>
      </c>
      <c r="R71" s="353">
        <f>$D$148*D150*'Ввод исходных данных'!I255*0.024*$D$157</f>
        <v>23324.756218705035</v>
      </c>
      <c r="S71" s="761">
        <f>IF('Ввод исходных данных'!D189&lt;&gt;0,R71,0)</f>
        <v>23324.756218705035</v>
      </c>
      <c r="T71" s="708">
        <f>S71</f>
        <v>23324.756218705035</v>
      </c>
      <c r="U71" s="353">
        <f>IF(U38=0,0,$D$148*D150*'Ввод исходных данных'!I256*0.024*$D$157)</f>
        <v>0</v>
      </c>
      <c r="V71" s="761">
        <f>IF('Ввод исходных данных'!D186&lt;&gt;0,U71,0)</f>
        <v>0</v>
      </c>
      <c r="W71" s="708">
        <f>V71</f>
        <v>0</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38874.59369784173</v>
      </c>
      <c r="AK71" s="761">
        <f>IF('Ввод исходных данных'!D194&lt;&gt;0,AJ71,0)</f>
        <v>38874.59369784173</v>
      </c>
      <c r="AL71" s="708">
        <f>AK71</f>
        <v>38874.59369784173</v>
      </c>
      <c r="AM71" s="353">
        <f>$D$148*D150*'Ввод исходных данных'!I262*0.024*$D$157</f>
        <v>46649.512437410071</v>
      </c>
      <c r="AN71" s="761">
        <f>IF('Ввод исходных данных'!D195&lt;&gt;0,AM71,0)</f>
        <v>46649.512437410071</v>
      </c>
      <c r="AO71" s="708">
        <f>AN71</f>
        <v>46649.512437410071</v>
      </c>
      <c r="AP71" s="353">
        <f>$D$148*D150*'Ввод исходных данных'!I263*0.024*$D$157</f>
        <v>48204.49618532374</v>
      </c>
      <c r="AQ71" s="762">
        <f>IF('Ввод исходных данных'!D196&lt;&gt;0,AP71,0)</f>
        <v>48204.49618532374</v>
      </c>
      <c r="AR71" s="708">
        <f>AQ71</f>
        <v>48204.49618532374</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5">
      <c r="A72" s="358" t="s">
        <v>874</v>
      </c>
      <c r="B72" s="359" t="s">
        <v>1184</v>
      </c>
      <c r="C72" s="361">
        <f>0.86*C71/1000</f>
        <v>251.40977236268202</v>
      </c>
      <c r="D72" s="361">
        <f>0.86*D71/1000</f>
        <v>251.40977236268202</v>
      </c>
      <c r="E72" s="361">
        <f>0.86*E71/1000</f>
        <v>251.40977236268202</v>
      </c>
      <c r="F72" s="74"/>
      <c r="G72" s="362" t="s">
        <v>874</v>
      </c>
      <c r="H72" s="363" t="s">
        <v>1184</v>
      </c>
      <c r="I72" s="365">
        <f>0.86*I71/1000</f>
        <v>41.455866719378413</v>
      </c>
      <c r="J72" s="364">
        <f t="shared" ref="J72:K72" si="178">0.86*J71/1000</f>
        <v>41.455866719378413</v>
      </c>
      <c r="K72" s="763">
        <f t="shared" si="178"/>
        <v>41.455866719378413</v>
      </c>
      <c r="L72" s="365">
        <f>0.86*L71/1000</f>
        <v>37.444008649761152</v>
      </c>
      <c r="M72" s="364">
        <f t="shared" ref="M72" si="179">0.86*M71/1000</f>
        <v>37.444008649761152</v>
      </c>
      <c r="N72" s="763">
        <f t="shared" ref="N72" si="180">0.86*N71/1000</f>
        <v>37.444008649761152</v>
      </c>
      <c r="O72" s="366">
        <f>0.86*O71/1000</f>
        <v>41.455866719378413</v>
      </c>
      <c r="P72" s="364">
        <f t="shared" ref="P72" si="181">0.86*P71/1000</f>
        <v>41.455866719378413</v>
      </c>
      <c r="Q72" s="763">
        <f t="shared" ref="Q72" si="182">0.86*Q71/1000</f>
        <v>41.455866719378413</v>
      </c>
      <c r="R72" s="367">
        <f>0.86*R71/1000</f>
        <v>20.059290348086332</v>
      </c>
      <c r="S72" s="764">
        <f t="shared" ref="S72" si="183">0.86*S71/1000</f>
        <v>20.059290348086332</v>
      </c>
      <c r="T72" s="765">
        <f t="shared" ref="T72" si="184">0.86*T71/1000</f>
        <v>20.059290348086332</v>
      </c>
      <c r="U72" s="368">
        <f>0.86*U71/1000</f>
        <v>0</v>
      </c>
      <c r="V72" s="680">
        <f t="shared" ref="V72:W72" si="185">0.86*V71/1000</f>
        <v>0</v>
      </c>
      <c r="W72" s="686">
        <f t="shared" si="185"/>
        <v>0</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33.43215058014389</v>
      </c>
      <c r="AK72" s="364">
        <f t="shared" ref="AK72:AL72" si="190">0.86*AK71/1000</f>
        <v>33.43215058014389</v>
      </c>
      <c r="AL72" s="763">
        <f t="shared" si="190"/>
        <v>33.43215058014389</v>
      </c>
      <c r="AM72" s="366">
        <f>0.86*AM71/1000</f>
        <v>40.118580696172664</v>
      </c>
      <c r="AN72" s="364">
        <f t="shared" ref="AN72:AO72" si="191">0.86*AN71/1000</f>
        <v>40.118580696172664</v>
      </c>
      <c r="AO72" s="763">
        <f t="shared" si="191"/>
        <v>40.118580696172664</v>
      </c>
      <c r="AP72" s="371">
        <f>0.86*AP71/1000</f>
        <v>41.455866719378413</v>
      </c>
      <c r="AQ72" s="440">
        <f t="shared" ref="AQ72:AR72" si="192">0.86*AQ71/1000</f>
        <v>41.455866719378413</v>
      </c>
      <c r="AR72" s="768">
        <f t="shared" si="192"/>
        <v>41.455866719378413</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3">
      <c r="A73" s="329" t="s">
        <v>1207</v>
      </c>
      <c r="B73" s="322" t="s">
        <v>842</v>
      </c>
      <c r="C73" s="769"/>
      <c r="D73" s="770">
        <f>D35-$C$35</f>
        <v>304419.64518832951</v>
      </c>
      <c r="E73" s="771">
        <f>E35-$C$35</f>
        <v>393878.43806094746</v>
      </c>
      <c r="F73" s="74"/>
      <c r="G73" s="344" t="s">
        <v>1207</v>
      </c>
      <c r="H73" s="326" t="s">
        <v>842</v>
      </c>
      <c r="I73" s="373"/>
      <c r="J73" s="610">
        <f>J35-I35</f>
        <v>41620.284837983956</v>
      </c>
      <c r="K73" s="608">
        <f>K35-I35</f>
        <v>46925.363441601454</v>
      </c>
      <c r="L73" s="373"/>
      <c r="M73" s="610">
        <f>M35-L35</f>
        <v>15914.236851980124</v>
      </c>
      <c r="N73" s="608">
        <f>N35-L35</f>
        <v>27507.119786793919</v>
      </c>
      <c r="O73" s="373"/>
      <c r="P73" s="772">
        <f>P35-O35</f>
        <v>47498.251007580344</v>
      </c>
      <c r="Q73" s="612">
        <f>Q35-O35</f>
        <v>71848.169799972995</v>
      </c>
      <c r="R73" s="373"/>
      <c r="S73" s="772">
        <f>S35-R35</f>
        <v>52622.156295416222</v>
      </c>
      <c r="T73" s="612">
        <f>T35-R35</f>
        <v>98187.581515097583</v>
      </c>
      <c r="U73" s="374"/>
      <c r="V73" s="773">
        <f>V35-U35</f>
        <v>8947.9149859999961</v>
      </c>
      <c r="W73" s="774">
        <f>W35-U35</f>
        <v>0</v>
      </c>
      <c r="X73" s="373"/>
      <c r="Y73" s="772">
        <f>Y35-X35</f>
        <v>7391.1185340000011</v>
      </c>
      <c r="Z73" s="612">
        <f>Z35-X35</f>
        <v>0</v>
      </c>
      <c r="AA73" s="373"/>
      <c r="AB73" s="772">
        <f>AB35-AA35</f>
        <v>11018.681843000002</v>
      </c>
      <c r="AC73" s="612">
        <f>AC35-AA35</f>
        <v>0</v>
      </c>
      <c r="AD73" s="396"/>
      <c r="AE73" s="775">
        <f>AE35-AD35</f>
        <v>16032.716764999997</v>
      </c>
      <c r="AF73" s="776">
        <f>AF35-AD35</f>
        <v>0</v>
      </c>
      <c r="AG73" s="395"/>
      <c r="AH73" s="775">
        <f>AH35-AG35</f>
        <v>14124.320989999998</v>
      </c>
      <c r="AI73" s="776">
        <f>AI35-AG35</f>
        <v>0</v>
      </c>
      <c r="AJ73" s="373"/>
      <c r="AK73" s="772">
        <f>AK35-AJ35</f>
        <v>20778.369119374314</v>
      </c>
      <c r="AL73" s="612">
        <f>AL35-AJ35</f>
        <v>-3401.4015676936979</v>
      </c>
      <c r="AM73" s="373"/>
      <c r="AN73" s="772">
        <f>AN35-AM35</f>
        <v>73270.599909597397</v>
      </c>
      <c r="AO73" s="612">
        <f>AO35-AM35</f>
        <v>75751.887782646227</v>
      </c>
      <c r="AP73" s="373"/>
      <c r="AQ73" s="610">
        <f>AQ35-AP35</f>
        <v>23357.691272105381</v>
      </c>
      <c r="AR73" s="612">
        <f>AR35-AP35</f>
        <v>55604.574553528219</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3">
      <c r="A74" s="358" t="s">
        <v>874</v>
      </c>
      <c r="B74" s="359" t="s">
        <v>1184</v>
      </c>
      <c r="C74" s="378"/>
      <c r="D74" s="377">
        <f>0.86*D73/1000</f>
        <v>261.8008948619634</v>
      </c>
      <c r="E74" s="659">
        <f>0.86*E73/1000</f>
        <v>338.73545673241483</v>
      </c>
      <c r="F74" s="74"/>
      <c r="G74" s="379" t="s">
        <v>874</v>
      </c>
      <c r="H74" s="380" t="s">
        <v>1184</v>
      </c>
      <c r="I74" s="382"/>
      <c r="J74" s="381">
        <f>J36-I36</f>
        <v>35.757810159246219</v>
      </c>
      <c r="K74" s="777">
        <f>K36-I36</f>
        <v>40.319356679983542</v>
      </c>
      <c r="L74" s="382"/>
      <c r="M74" s="778">
        <f>M36-L36</f>
        <v>13.658087686262945</v>
      </c>
      <c r="N74" s="777">
        <f>N36-L36</f>
        <v>23.626172754890433</v>
      </c>
      <c r="O74" s="382"/>
      <c r="P74" s="779">
        <f>P36-O36</f>
        <v>40.817781050639098</v>
      </c>
      <c r="Q74" s="780">
        <f>Q36-O36</f>
        <v>61.754942523031758</v>
      </c>
      <c r="R74" s="382"/>
      <c r="S74" s="779">
        <f>S36-R36</f>
        <v>45.236976937737943</v>
      </c>
      <c r="T74" s="780">
        <f>T36-R36</f>
        <v>84.416190368246419</v>
      </c>
      <c r="U74" s="383"/>
      <c r="V74" s="781">
        <f>V36-U36</f>
        <v>7.6938219999999973</v>
      </c>
      <c r="W74" s="782">
        <f>W36-U36</f>
        <v>0</v>
      </c>
      <c r="X74" s="382"/>
      <c r="Y74" s="779">
        <f>Y36-X36</f>
        <v>6.3552180000000007</v>
      </c>
      <c r="Z74" s="780">
        <f>Z36-X36</f>
        <v>0</v>
      </c>
      <c r="AA74" s="382"/>
      <c r="AB74" s="779">
        <f>AB36-AA36</f>
        <v>9.4743610000000018</v>
      </c>
      <c r="AC74" s="780">
        <f>AC36-AA36</f>
        <v>0</v>
      </c>
      <c r="AD74" s="382"/>
      <c r="AE74" s="779">
        <f>AE36-AD36</f>
        <v>13.785654999999998</v>
      </c>
      <c r="AF74" s="780">
        <f>AF36-AD36</f>
        <v>0</v>
      </c>
      <c r="AG74" s="384"/>
      <c r="AH74" s="779">
        <f>AH36-AG36</f>
        <v>12.144729999999999</v>
      </c>
      <c r="AI74" s="780">
        <f>AI36-AG36</f>
        <v>0</v>
      </c>
      <c r="AJ74" s="382"/>
      <c r="AK74" s="779">
        <f>AK36-AJ36</f>
        <v>17.858963367721906</v>
      </c>
      <c r="AL74" s="780">
        <f>AL36-AJ36</f>
        <v>-2.9318970682780972</v>
      </c>
      <c r="AM74" s="382"/>
      <c r="AN74" s="779">
        <f>AN36-AM36</f>
        <v>62.981225114853757</v>
      </c>
      <c r="AO74" s="780">
        <f>AO36-AM36</f>
        <v>65.114748651439172</v>
      </c>
      <c r="AP74" s="382"/>
      <c r="AQ74" s="381">
        <f>AQ36-AP36</f>
        <v>20.057496878350634</v>
      </c>
      <c r="AR74" s="780">
        <f>AR36-AP36</f>
        <v>47.78482558120777</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 customHeight="1" thickBot="1" x14ac:dyDescent="0.35">
      <c r="A75" s="385" t="s">
        <v>874</v>
      </c>
      <c r="B75" s="386" t="s">
        <v>1181</v>
      </c>
      <c r="C75" s="378"/>
      <c r="D75" s="387">
        <f>(D73/$C$35)*100</f>
        <v>32.222370474404308</v>
      </c>
      <c r="E75" s="783">
        <f>(E73/$C$35)*100</f>
        <v>41.691451763002448</v>
      </c>
      <c r="F75" s="74"/>
      <c r="G75" s="362" t="s">
        <v>874</v>
      </c>
      <c r="H75" s="388" t="s">
        <v>1181</v>
      </c>
      <c r="I75" s="390"/>
      <c r="J75" s="389">
        <f>(J73/I35)*100</f>
        <v>22.065664782046298</v>
      </c>
      <c r="K75" s="784">
        <f>(K73/I35)*100</f>
        <v>24.878237703291596</v>
      </c>
      <c r="L75" s="390"/>
      <c r="M75" s="785">
        <f>(M73/L35)*100</f>
        <v>9.5866096252485189</v>
      </c>
      <c r="N75" s="784">
        <f>(N73/L35)*100</f>
        <v>16.570070042543811</v>
      </c>
      <c r="O75" s="391"/>
      <c r="P75" s="786">
        <f>IFERROR((P73/O35)*100,0)</f>
        <v>31.465466905566213</v>
      </c>
      <c r="Q75" s="787">
        <f>IFERROR((Q73/O35)*100,0)</f>
        <v>47.596199041218526</v>
      </c>
      <c r="R75" s="390"/>
      <c r="S75" s="786">
        <f>IFERROR((S73/R35)*100,0)</f>
        <v>81.993527896540144</v>
      </c>
      <c r="T75" s="787">
        <f>IFERROR((T73/R35)*100,0)</f>
        <v>152.99156801663108</v>
      </c>
      <c r="U75" s="392"/>
      <c r="V75" s="786">
        <f>IFERROR((V73/U35)*100,0)</f>
        <v>0</v>
      </c>
      <c r="W75" s="787">
        <f>IFERROR((W73/U35)*100,0)</f>
        <v>0</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0</v>
      </c>
      <c r="AI75" s="787">
        <f>IFERROR((AI73/AG35)*100,0)</f>
        <v>0</v>
      </c>
      <c r="AJ75" s="390"/>
      <c r="AK75" s="786">
        <f>IFERROR((AK73/AJ35)*100,0)</f>
        <v>44.553067075927018</v>
      </c>
      <c r="AL75" s="787">
        <f>IFERROR((AL73/AJ35)*100,0)</f>
        <v>-7.2932996486388317</v>
      </c>
      <c r="AM75" s="390"/>
      <c r="AN75" s="786">
        <f>IFERROR((AN73/AM35)*100,0)</f>
        <v>56.277581099738242</v>
      </c>
      <c r="AO75" s="787">
        <f>IFERROR((AO73/AM35)*100,0)</f>
        <v>58.183405259491181</v>
      </c>
      <c r="AP75" s="390"/>
      <c r="AQ75" s="389">
        <f>(AQ73/AP35)*100</f>
        <v>13.640677158684245</v>
      </c>
      <c r="AR75" s="788">
        <f>(AR73/AP35)*100</f>
        <v>32.472560802123333</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3">
      <c r="A76" s="789" t="s">
        <v>1208</v>
      </c>
      <c r="B76" s="790" t="s">
        <v>1346</v>
      </c>
      <c r="C76" s="791">
        <f>C35/('Ввод исходных данных'!$G$45++'Ввод исходных данных'!D23)</f>
        <v>138.23397464107728</v>
      </c>
      <c r="D76" s="672">
        <f>D35/('Ввод исходных данных'!$G$45+'Ввод исходных данных'!$D$23)</f>
        <v>182.7762380714193</v>
      </c>
      <c r="E76" s="792">
        <f>E35/('Ввод исходных данных'!$G$45+'Ввод исходных данных'!$D$23)</f>
        <v>195.86572549864306</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6" thickBot="1" x14ac:dyDescent="0.35">
      <c r="A77" s="385" t="s">
        <v>874</v>
      </c>
      <c r="B77" s="397" t="s">
        <v>1209</v>
      </c>
      <c r="C77" s="399">
        <f>C76*0.86/1000</f>
        <v>0.11888121819132645</v>
      </c>
      <c r="D77" s="398">
        <f t="shared" ref="D77:E77" si="193">D76*0.86/1000</f>
        <v>0.15718756474142059</v>
      </c>
      <c r="E77" s="801">
        <f t="shared" si="193"/>
        <v>0.16844452392883302</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3">
      <c r="A80" s="407">
        <f>C38</f>
        <v>785313.26935872261</v>
      </c>
      <c r="B80" s="408">
        <f>C62</f>
        <v>243795.64807317976</v>
      </c>
      <c r="C80" s="408">
        <f>C65</f>
        <v>61805.831158961279</v>
      </c>
      <c r="D80" s="409">
        <f>C68</f>
        <v>146168.47230388489</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5">
      <c r="A82" s="1785" t="s">
        <v>1210</v>
      </c>
      <c r="B82" s="1785"/>
      <c r="C82" s="1785"/>
      <c r="D82" s="1785"/>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 customHeight="1" x14ac:dyDescent="0.3">
      <c r="A83" s="1768" t="s">
        <v>834</v>
      </c>
      <c r="B83" s="1778" t="s">
        <v>1174</v>
      </c>
      <c r="C83" s="1776" t="s">
        <v>1175</v>
      </c>
      <c r="D83" s="1772" t="s">
        <v>1176</v>
      </c>
      <c r="E83" s="74"/>
      <c r="F83" s="74"/>
      <c r="G83" s="1781" t="s">
        <v>834</v>
      </c>
      <c r="H83" s="1786" t="s">
        <v>1174</v>
      </c>
      <c r="I83" s="1766" t="s">
        <v>488</v>
      </c>
      <c r="J83" s="1767"/>
      <c r="K83" s="1766" t="s">
        <v>489</v>
      </c>
      <c r="L83" s="1767"/>
      <c r="M83" s="1766" t="s">
        <v>490</v>
      </c>
      <c r="N83" s="1767"/>
      <c r="O83" s="1766" t="s">
        <v>491</v>
      </c>
      <c r="P83" s="1767"/>
      <c r="Q83" s="1766" t="s">
        <v>805</v>
      </c>
      <c r="R83" s="1767"/>
      <c r="S83" s="1766" t="s">
        <v>806</v>
      </c>
      <c r="T83" s="1767"/>
      <c r="U83" s="1766" t="s">
        <v>807</v>
      </c>
      <c r="V83" s="1767"/>
      <c r="W83" s="1766" t="s">
        <v>808</v>
      </c>
      <c r="X83" s="1767"/>
      <c r="Y83" s="1766" t="s">
        <v>809</v>
      </c>
      <c r="Z83" s="1767"/>
      <c r="AA83" s="1766" t="s">
        <v>482</v>
      </c>
      <c r="AB83" s="1767"/>
      <c r="AC83" s="1766" t="s">
        <v>486</v>
      </c>
      <c r="AD83" s="1767"/>
      <c r="AE83" s="1766" t="s">
        <v>487</v>
      </c>
      <c r="AF83" s="1767"/>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 customHeight="1" thickBot="1" x14ac:dyDescent="0.35">
      <c r="A84" s="1769"/>
      <c r="B84" s="1779"/>
      <c r="C84" s="1777"/>
      <c r="D84" s="1773"/>
      <c r="E84" s="74"/>
      <c r="F84" s="74"/>
      <c r="G84" s="1782"/>
      <c r="H84" s="1787"/>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3">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569252.94490440923</v>
      </c>
      <c r="D85" s="807">
        <f>IF('Система ГВС'!F3=2,0,D86*1163)</f>
        <v>392774.92352469225</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43636.677821930076</v>
      </c>
      <c r="J85" s="811">
        <f>J86*1163*'Система ГВС'!$H$4</f>
        <v>34686.336602999996</v>
      </c>
      <c r="K85" s="810">
        <f>(0.024* (H167*($D$174-IF(H146&gt;=0.8*H165,$D$175,'Ввод исходных данных'!$D$109))*1*$D$177)/(3.6*24*$D$179))*(H170*$D$176+H146+(H170-H146))*(1-0.4*'Ввод исходных данных'!$D$21/'Ввод исходных данных'!$D$20)*'Ввод исходных данных'!$G$45*'Система ГВС'!$H$4</f>
        <v>39413.773516581998</v>
      </c>
      <c r="L85" s="811">
        <f>L86*1163*'Система ГВС'!$H$4</f>
        <v>33577.835945999999</v>
      </c>
      <c r="M85" s="810">
        <f>(0.024* (I167*($D$174-IF(I146&gt;=0.8*I165,$D$175,'Ввод исходных данных'!$D$109))*1*$D$177)/(3.6*24*$D$179))*(I170*$D$176+I146+(I170-I146))*(1-0.4*'Ввод исходных данных'!$D$21/'Ввод исходных данных'!$D$20)*'Ввод исходных данных'!$G$45*'Система ГВС'!$H$4</f>
        <v>43636.677821930076</v>
      </c>
      <c r="N85" s="812">
        <f>N86*1163*'Система ГВС'!$H$4</f>
        <v>31667.482842000001</v>
      </c>
      <c r="O85" s="810">
        <f>(0.024* (J167*($D$174-IF(J146&gt;=0.8*J165,$D$175,'Ввод исходных данных'!$D$109))*1*$D$177)/(3.6*24*$D$179))*(J170*$D$176+J146+(J170-J146))*(1-0.4*'Ввод исходных данных'!$D$21/'Ввод исходных данных'!$D$20)*'Ввод исходных данных'!$G$45*'Система ГВС'!$H$4</f>
        <v>31095.931703017621</v>
      </c>
      <c r="P85" s="811">
        <f>P86*1163*'Система ГВС'!$H$4</f>
        <v>33051.966887999995</v>
      </c>
      <c r="Q85" s="810">
        <f>(0.024* (K167*($D$174-IF(K146&gt;=0.8*K165,$D$175,'Ввод исходных данных'!$D$109))*1*$D$177)/(3.6*24*$D$179))*(K170*$D$176+K146+(K170-K146))*(1-0.4*'Ввод исходных данных'!$D$21/'Ввод исходных данных'!$D$20)*'Ввод исходных данных'!$G$45*'Система ГВС'!$H$4</f>
        <v>32132.462759784878</v>
      </c>
      <c r="R85" s="813">
        <f>R86*1163*'Система ГВС'!$H$4</f>
        <v>38835.103014</v>
      </c>
      <c r="S85" s="810">
        <f>(0.024* (L167*($D$174-IF(L146&gt;=0.8*L165,$D$175,'Ввод исходных данных'!$D$109))*1*$D$177)/(3.6*24*$D$179))*(L170*$D$176+L146+(L170-L146))*(1-0.4*'Ввод исходных данных'!$D$21/'Ввод исходных данных'!$D$20)*'Ввод исходных данных'!$G$45*'Система ГВС'!$H$4</f>
        <v>31095.931703017621</v>
      </c>
      <c r="T85" s="813">
        <f>T86*1163*'Система ГВС'!$H$4</f>
        <v>34647.842465999995</v>
      </c>
      <c r="U85" s="810">
        <f>(0.024* (M167*($D$174-IF(M146&gt;=0.8*M165,$D$175,'Ввод исходных данных'!$D$109))*1*$D$177)/(3.6*24*$D$179))*(M170*$D$176+M146+(M170-M146))*(1-0.4*'Ввод исходных данных'!$D$21/'Ввод исходных данных'!$D$20)*'Ввод исходных данных'!$G$45*'Система ГВС'!$H$4</f>
        <v>17621.027965043319</v>
      </c>
      <c r="V85" s="812">
        <f>V86*1163*'Система ГВС'!$H$4</f>
        <v>32898.524157</v>
      </c>
      <c r="W85" s="810">
        <f>(0.024* (N167*($D$174-IF(N146&gt;=0.8*N165,$D$175,'Ввод исходных данных'!$D$109))*1*$D$177)/(3.6*24*$D$179))*(N170*$D$176+N146+(N170-N146))*(1-0.4*'Ввод исходных данных'!$D$21/'Ввод исходных данных'!$D$20)*'Ввод исходных данных'!$G$45*'Система ГВС'!$H$4</f>
        <v>32132.462759784878</v>
      </c>
      <c r="X85" s="811">
        <f>X86*1163*'Система ГВС'!$H$4</f>
        <v>29126.573235</v>
      </c>
      <c r="Y85" s="810">
        <f>(0.024* (O167*($D$174-IF(G146&gt;=0.8*O165,$D$175,'Ввод исходных данных'!$D$109))*1*$D$177)/(3.6*24*$D$179))*(O170*$D$176+O146+(O170-O146))*(1-0.4*'Ввод исходных данных'!$D$21/'Ввод исходных данных'!$D$20)*'Ввод исходных данных'!$G$45*'Система ГВС'!$H$4</f>
        <v>38006.138748132646</v>
      </c>
      <c r="Z85" s="811">
        <f>Z86*1163*'Система ГВС'!$H$4</f>
        <v>31034.969010000001</v>
      </c>
      <c r="AA85" s="810">
        <f>(0.024* (P167*($D$174-IF(P146&gt;=0.8*P165,$D$175,'Ввод исходных данных'!$D$109))*1*$D$177)/(3.6*24*$D$179))*(P170*$D$176+P146+(P170-P146))*(1-0.4*'Ввод исходных данных'!$D$21/'Ввод исходных данных'!$D$20)*'Ввод исходных данных'!$G$45*'Система ГВС'!$H$4</f>
        <v>32132.462759784878</v>
      </c>
      <c r="AB85" s="811">
        <f>AB86*1163*'Система ГВС'!$H$4</f>
        <v>29777.355471000003</v>
      </c>
      <c r="AC85" s="810">
        <f>(0.024* (Q167*($D$174-IF(Q146&gt;=0.8*Q165,$D$175,'Ввод исходных данных'!$D$109))*1*$D$177)/(3.6*24*$D$179))*(Q170*$D$176+Q146+(Q170-Q146))*(1-0.4*'Ввод исходных данных'!$D$21/'Ввод исходных данных'!$D$20)*'Ввод исходных данных'!$G$45*'Система ГВС'!$H$4</f>
        <v>42229.043053480716</v>
      </c>
      <c r="AD85" s="811">
        <f>AD86*1163*'Система ГВС'!$H$4</f>
        <v>31260.358409999993</v>
      </c>
      <c r="AE85" s="810">
        <f>(0.024* (R167*($D$174-IF(R146&gt;=0.8*R165,$D$175,'Ввод исходных данных'!$D$109))*1*$D$177)/(3.6*24*$D$179))*(R170*$D$176+R146+(R170-R146))*(1-0.4*'Ввод исходных данных'!$D$21/'Ввод исходных данных'!$D$20)*'Ввод исходных данных'!$G$45*'Система ГВС'!$H$4</f>
        <v>43636.677821930076</v>
      </c>
      <c r="AF85" s="811">
        <f>AF86*1163*'Система ГВС'!$H$4</f>
        <v>30975.240818999999</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 thickBot="1" x14ac:dyDescent="0.35">
      <c r="A86" s="814" t="s">
        <v>874</v>
      </c>
      <c r="B86" s="386" t="s">
        <v>1184</v>
      </c>
      <c r="C86" s="815">
        <f>0.86*C85/1000</f>
        <v>489.55753261779188</v>
      </c>
      <c r="D86" s="816">
        <f>IF('Система ГВС'!F3=2,0,'Ввод исходных данных'!K198)</f>
        <v>337.72564361538457</v>
      </c>
      <c r="E86" s="74"/>
      <c r="F86" s="74"/>
      <c r="G86" s="544" t="s">
        <v>874</v>
      </c>
      <c r="H86" s="545" t="s">
        <v>1184</v>
      </c>
      <c r="I86" s="365">
        <f>0.86*I85/1000</f>
        <v>37.527542926859866</v>
      </c>
      <c r="J86" s="817">
        <f>'Ввод исходных данных'!K186*'Система ГВС'!$H$4</f>
        <v>29.824880999999994</v>
      </c>
      <c r="K86" s="365">
        <f>0.86*K85/1000</f>
        <v>33.895845224260519</v>
      </c>
      <c r="L86" s="817">
        <f>'Ввод исходных данных'!K187*'Система ГВС'!$H$4</f>
        <v>28.871741999999998</v>
      </c>
      <c r="M86" s="818">
        <f>0.86*M85/1000</f>
        <v>37.527542926859866</v>
      </c>
      <c r="N86" s="819">
        <f>'Ввод исходных данных'!K188*'Система ГВС'!$H$4</f>
        <v>27.229134000000002</v>
      </c>
      <c r="O86" s="365">
        <f>0.86*O85/1000</f>
        <v>26.742501264595155</v>
      </c>
      <c r="P86" s="817">
        <f>'Ввод исходных данных'!K189*'Система ГВС'!$H$4</f>
        <v>28.419575999999996</v>
      </c>
      <c r="Q86" s="818">
        <f>0.86*Q85/1000</f>
        <v>27.633917973414995</v>
      </c>
      <c r="R86" s="820">
        <f>'Ввод исходных данных'!K190*'Система ГВС'!$H$4</f>
        <v>33.392178000000001</v>
      </c>
      <c r="S86" s="764">
        <f>0.86*S85/1000</f>
        <v>26.742501264595155</v>
      </c>
      <c r="T86" s="821">
        <f>'Ввод исходных данных'!K191*'Система ГВС'!$H$4</f>
        <v>29.791781999999998</v>
      </c>
      <c r="U86" s="764">
        <f>0.86*U85/1000</f>
        <v>15.154084049937254</v>
      </c>
      <c r="V86" s="822">
        <f>'Ввод исходных данных'!K192*'Система ГВС'!$H$4</f>
        <v>28.287638999999999</v>
      </c>
      <c r="W86" s="366">
        <f>0.86*W85/1000</f>
        <v>27.633917973414995</v>
      </c>
      <c r="X86" s="602">
        <f>'Ввод исходных данных'!K193*'Система ГВС'!$H$4</f>
        <v>25.044345</v>
      </c>
      <c r="Y86" s="366">
        <f>0.86*Y85/1000</f>
        <v>32.685279323394077</v>
      </c>
      <c r="Z86" s="602">
        <f>'Ввод исходных данных'!K194*'Система ГВС'!$H$4</f>
        <v>26.685269999999999</v>
      </c>
      <c r="AA86" s="366">
        <f>0.86*AA85/1000</f>
        <v>27.633917973414995</v>
      </c>
      <c r="AB86" s="602">
        <f>'Ввод исходных данных'!K195*'Система ГВС'!$H$4</f>
        <v>25.603917000000003</v>
      </c>
      <c r="AC86" s="366">
        <f>0.86*AC85/1000</f>
        <v>36.316977025993417</v>
      </c>
      <c r="AD86" s="823">
        <f>'Ввод исходных данных'!K196*'Система ГВС'!$H$4</f>
        <v>26.879069999999995</v>
      </c>
      <c r="AE86" s="365">
        <f>0.86*AE85/1000</f>
        <v>37.527542926859866</v>
      </c>
      <c r="AF86" s="823">
        <f>'Ввод исходных данных'!K197*'Система ГВС'!$H$4</f>
        <v>26.633913</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 customHeight="1" x14ac:dyDescent="0.3">
      <c r="A87" s="824" t="s">
        <v>1214</v>
      </c>
      <c r="B87" s="825" t="s">
        <v>842</v>
      </c>
      <c r="C87" s="826"/>
      <c r="D87" s="827">
        <f>D85-C85</f>
        <v>-176478.02137971699</v>
      </c>
      <c r="E87" s="74"/>
      <c r="F87" s="74"/>
      <c r="G87" s="828" t="s">
        <v>1215</v>
      </c>
      <c r="H87" s="809" t="s">
        <v>842</v>
      </c>
      <c r="I87" s="829"/>
      <c r="J87" s="830">
        <f>J85-I85</f>
        <v>-8950.3412189300798</v>
      </c>
      <c r="K87" s="829"/>
      <c r="L87" s="830">
        <f>L85-K85</f>
        <v>-5835.9375705819984</v>
      </c>
      <c r="M87" s="829"/>
      <c r="N87" s="830">
        <f>N85-M85</f>
        <v>-11969.194979930075</v>
      </c>
      <c r="O87" s="829"/>
      <c r="P87" s="830">
        <f>P85-O85</f>
        <v>1956.0351849823746</v>
      </c>
      <c r="Q87" s="829"/>
      <c r="R87" s="830">
        <f>R85-Q85</f>
        <v>6702.6402542151227</v>
      </c>
      <c r="S87" s="829"/>
      <c r="T87" s="830">
        <f>T85-S85</f>
        <v>3551.9107629823739</v>
      </c>
      <c r="U87" s="829"/>
      <c r="V87" s="830">
        <f>V85-U85</f>
        <v>15277.496191956681</v>
      </c>
      <c r="W87" s="829"/>
      <c r="X87" s="830">
        <f>X85-W85</f>
        <v>-3005.8895247848777</v>
      </c>
      <c r="Y87" s="829"/>
      <c r="Z87" s="830">
        <f>Z85-Y85</f>
        <v>-6971.1697381326449</v>
      </c>
      <c r="AA87" s="829"/>
      <c r="AB87" s="830">
        <f>AB85-AA85</f>
        <v>-2355.107288784875</v>
      </c>
      <c r="AC87" s="829"/>
      <c r="AD87" s="830">
        <f>AD85-AC85</f>
        <v>-10968.684643480723</v>
      </c>
      <c r="AE87" s="829"/>
      <c r="AF87" s="830">
        <f>AF85-AE85</f>
        <v>-12661.437002930077</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3">
      <c r="A88" s="358" t="s">
        <v>874</v>
      </c>
      <c r="B88" s="359" t="s">
        <v>1184</v>
      </c>
      <c r="C88" s="831"/>
      <c r="D88" s="832">
        <f>D86-C86</f>
        <v>-151.83188900240731</v>
      </c>
      <c r="E88" s="74"/>
      <c r="F88" s="74"/>
      <c r="G88" s="833" t="s">
        <v>874</v>
      </c>
      <c r="H88" s="834" t="s">
        <v>1184</v>
      </c>
      <c r="I88" s="618"/>
      <c r="J88" s="615">
        <f>J86-I86</f>
        <v>-7.7026619268598715</v>
      </c>
      <c r="K88" s="618"/>
      <c r="L88" s="615">
        <f>L86-K86</f>
        <v>-5.0241032242605215</v>
      </c>
      <c r="M88" s="618"/>
      <c r="N88" s="615">
        <f>N86-M86</f>
        <v>-10.298408926859864</v>
      </c>
      <c r="O88" s="618"/>
      <c r="P88" s="615">
        <f>P86-O86</f>
        <v>1.6770747354048403</v>
      </c>
      <c r="Q88" s="618"/>
      <c r="R88" s="615">
        <f>R86-Q86</f>
        <v>5.7582600265850061</v>
      </c>
      <c r="S88" s="618"/>
      <c r="T88" s="615">
        <f>T86-S86</f>
        <v>3.0492807354048423</v>
      </c>
      <c r="U88" s="618"/>
      <c r="V88" s="615">
        <f>V86-U86</f>
        <v>13.133554950062745</v>
      </c>
      <c r="W88" s="618"/>
      <c r="X88" s="615">
        <f>X86-W86</f>
        <v>-2.5895729734149953</v>
      </c>
      <c r="Y88" s="618"/>
      <c r="Z88" s="615">
        <f>Z86-Y86</f>
        <v>-6.0000093233940781</v>
      </c>
      <c r="AA88" s="618"/>
      <c r="AB88" s="615">
        <f>AB86-AA86</f>
        <v>-2.0300009734149924</v>
      </c>
      <c r="AC88" s="618"/>
      <c r="AD88" s="615">
        <f>AD86-AC86</f>
        <v>-9.4379070259934217</v>
      </c>
      <c r="AE88" s="618"/>
      <c r="AF88" s="615">
        <f>AF86-AE86</f>
        <v>-10.893629926859866</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5">
      <c r="A89" s="385" t="s">
        <v>874</v>
      </c>
      <c r="B89" s="386" t="s">
        <v>1181</v>
      </c>
      <c r="C89" s="835"/>
      <c r="D89" s="836">
        <f>IF('Система ГВС'!F3=2,0,(D87/C85)*100)</f>
        <v>-31.001687906832302</v>
      </c>
      <c r="E89" s="74"/>
      <c r="F89" s="74"/>
      <c r="G89" s="544" t="s">
        <v>874</v>
      </c>
      <c r="H89" s="545" t="s">
        <v>1181</v>
      </c>
      <c r="I89" s="630"/>
      <c r="J89" s="837">
        <f>(J87/I85)*100</f>
        <v>-20.51105094538611</v>
      </c>
      <c r="K89" s="630"/>
      <c r="L89" s="837">
        <f>(L87/K85)*100</f>
        <v>-14.806848088591993</v>
      </c>
      <c r="M89" s="630"/>
      <c r="N89" s="837">
        <f>(N87/M85)*100</f>
        <v>-27.429207669688431</v>
      </c>
      <c r="O89" s="630"/>
      <c r="P89" s="837">
        <f>(P87/O85)*100</f>
        <v>6.290325061373081</v>
      </c>
      <c r="Q89" s="630"/>
      <c r="R89" s="837">
        <f>(R87/Q85)*100</f>
        <v>20.859404099594126</v>
      </c>
      <c r="S89" s="630"/>
      <c r="T89" s="837">
        <f>(T87/S85)*100</f>
        <v>11.422429136084347</v>
      </c>
      <c r="U89" s="630"/>
      <c r="V89" s="837">
        <f>(V87/U85)*100</f>
        <v>86.700368572504686</v>
      </c>
      <c r="W89" s="630"/>
      <c r="X89" s="837">
        <f>(X87/W85)*100</f>
        <v>-9.3546814237558973</v>
      </c>
      <c r="Y89" s="630"/>
      <c r="Z89" s="837">
        <f>(Z87/Y85)*100</f>
        <v>-18.342220408999477</v>
      </c>
      <c r="AA89" s="630"/>
      <c r="AB89" s="837">
        <f>(AB87/AA85)*100</f>
        <v>-7.3293706317848457</v>
      </c>
      <c r="AC89" s="630"/>
      <c r="AD89" s="837">
        <f>(AD87/AC85)*100</f>
        <v>-25.97426759017366</v>
      </c>
      <c r="AE89" s="630"/>
      <c r="AF89" s="837">
        <f>(AF87/AE85)*100</f>
        <v>-29.015584217016027</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 thickBot="1" x14ac:dyDescent="0.35">
      <c r="A90" s="838" t="s">
        <v>1216</v>
      </c>
      <c r="B90" s="839" t="s">
        <v>1345</v>
      </c>
      <c r="C90" s="840">
        <f>IF('Система ГВС'!F3=2,0,D168*365*'Ввод исходных данных'!$D$22/1000*(1-0.4*'Ввод исходных данных'!D21/'Ввод исходных данных'!D20))</f>
        <v>6118.6409999999987</v>
      </c>
      <c r="D90" s="841">
        <f>IF('Система ГВС'!F3=2,0,'Ввод исходных данных'!F218)</f>
        <v>3795.2414999999996</v>
      </c>
      <c r="E90" s="74"/>
      <c r="F90" s="317"/>
      <c r="G90" s="842" t="s">
        <v>1219</v>
      </c>
      <c r="H90" s="839" t="s">
        <v>1345</v>
      </c>
      <c r="I90" s="843">
        <f>G167*G170*'Ввод исходных данных'!$D$22/1000*(1-0.4*'Ввод исходных данных'!D21/'Ввод исходных данных'!D20)*'Система ГВС'!$H$4</f>
        <v>566.71010158350759</v>
      </c>
      <c r="J90" s="844">
        <f>'Ввод исходных данных'!F206*'Система ГВС'!$H$4</f>
        <v>315.52849999999995</v>
      </c>
      <c r="K90" s="843">
        <f>H167*H165*'Ввод исходных данных'!$D$22/1000*(1-0.4*'Ввод исходных данных'!D21/'Ввод исходных данных'!D20)*'Система ГВС'!$H$4</f>
        <v>511.86718852703899</v>
      </c>
      <c r="L90" s="844">
        <f>'Ввод исходных данных'!$F$207*'Система ГВС'!$H$4</f>
        <v>301.08699999999999</v>
      </c>
      <c r="M90" s="843">
        <f>I167*I165*'Ввод исходных данных'!$D$22/1000*(1-0.4*'Ввод исходных данных'!D21/'Ввод исходных данных'!D20)*'Система ГВС'!$H$4</f>
        <v>566.71010158350759</v>
      </c>
      <c r="N90" s="844">
        <f>'Ввод исходных данных'!$F$208*'Система ГВС'!$H$4</f>
        <v>276.19900000000001</v>
      </c>
      <c r="O90" s="843">
        <f>J167*J165*'Ввод исходных данных'!$D$22/1000*(1-0.4*'Ввод исходных данных'!D21/'Ввод исходных данных'!D20)*'Система ГВС'!$H$4</f>
        <v>493.58621750821624</v>
      </c>
      <c r="P90" s="844">
        <f>'Ввод исходных данных'!$F$209*'Система ГВС'!$H$4</f>
        <v>294.23599999999999</v>
      </c>
      <c r="Q90" s="843">
        <f>K167*K165*'Ввод исходных данных'!$D$22/1000*(1-0.4*'Ввод исходных данных'!D21/'Ввод исходных данных'!D20)*'Система ГВС'!$H$4</f>
        <v>510.0390914251567</v>
      </c>
      <c r="R90" s="844">
        <f>'Ввод исходных данных'!$F$210*'Система ГВС'!$H$4</f>
        <v>451.70699999999994</v>
      </c>
      <c r="S90" s="843">
        <f>L167*L165*'Ввод исходных данных'!$D$22/1000*(1-0.4*'Ввод исходных данных'!D21/'Ввод исходных данных'!D20)*'Система ГВС'!$H$4</f>
        <v>493.58621750821624</v>
      </c>
      <c r="T90" s="844">
        <f>'Ввод исходных данных'!$F$211*'Система ГВС'!$H$4</f>
        <v>385.03300000000002</v>
      </c>
      <c r="U90" s="843">
        <f>M167*M170*'Ввод исходных данных'!$D$22/1000*(1-0.4*'Ввод исходных данных'!D21/'Ввод исходных данных'!D20)*'Система ГВС'!$H$4</f>
        <v>279.69885658798916</v>
      </c>
      <c r="V90" s="844">
        <f>'Ввод исходных данных'!$F$212*'Система ГВС'!$H$4</f>
        <v>357.17849999999999</v>
      </c>
      <c r="W90" s="843">
        <f>N167*N165*'Ввод исходных данных'!$D$22/1000*(1-0.4*'Ввод исходных данных'!D21/'Ввод исходных данных'!D20)*'Система ГВС'!$H$4</f>
        <v>510.0390914251567</v>
      </c>
      <c r="X90" s="845">
        <f>'Ввод исходных данных'!$F$213*'Система ГВС'!$H$4</f>
        <v>297.11750000000001</v>
      </c>
      <c r="Y90" s="843">
        <f>O167*O165*'Ввод исходных данных'!$D$22/1000*(1-0.4*'Ввод исходных данных'!D21/'Ввод исходных данных'!D20)*'Система ГВС'!$H$4</f>
        <v>493.58621750821624</v>
      </c>
      <c r="Z90" s="846">
        <f>'Ввод исходных данных'!$F$214*'Система ГВС'!$H$4</f>
        <v>327.505</v>
      </c>
      <c r="AA90" s="843">
        <f>P167*P165*'Ввод исходных данных'!$D$22/1000*(1-0.4*'Ввод исходных данных'!D21/'Ввод исходных данных'!D20)*'Система ГВС'!$H$4</f>
        <v>510.0390914251567</v>
      </c>
      <c r="AB90" s="845">
        <f>'Ввод исходных данных'!$F$215*'Система ГВС'!$H$4</f>
        <v>251.57450000000003</v>
      </c>
      <c r="AC90" s="843">
        <f>Q167*Q165*'Ввод исходных данных'!$D$22/1000*(1-0.4*'Ввод исходных данных'!D21/'Ввод исходных данных'!D20)*'Система ГВС'!$H$4</f>
        <v>548.42913056468467</v>
      </c>
      <c r="AD90" s="847">
        <f>'Ввод исходных данных'!$F$216*'Система ГВС'!$H$4</f>
        <v>270.89499999999998</v>
      </c>
      <c r="AE90" s="843">
        <f>R167*R165*'Ввод исходных данных'!$D$22/1000*(1-0.4*'Ввод исходных данных'!D21/'Ввод исходных данных'!D20)*'Система ГВС'!$H$4</f>
        <v>566.71010158350759</v>
      </c>
      <c r="AF90" s="664">
        <f>'Ввод исходных данных'!$F$217*'Система ГВС'!$H$4</f>
        <v>267.18049999999999</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 customHeight="1" x14ac:dyDescent="0.3">
      <c r="A91" s="824" t="s">
        <v>1218</v>
      </c>
      <c r="B91" s="848" t="s">
        <v>1217</v>
      </c>
      <c r="C91" s="826"/>
      <c r="D91" s="849">
        <f>D90-C90</f>
        <v>-2323.3994999999991</v>
      </c>
      <c r="E91" s="74"/>
      <c r="F91" s="74"/>
      <c r="G91" s="828" t="s">
        <v>1220</v>
      </c>
      <c r="H91" s="809" t="s">
        <v>1217</v>
      </c>
      <c r="I91" s="850"/>
      <c r="J91" s="830">
        <f>J90-I90</f>
        <v>-251.18160158350764</v>
      </c>
      <c r="K91" s="850"/>
      <c r="L91" s="830">
        <f>L90-K90</f>
        <v>-210.780188527039</v>
      </c>
      <c r="M91" s="850"/>
      <c r="N91" s="830">
        <f>N90-M90</f>
        <v>-290.51110158350758</v>
      </c>
      <c r="O91" s="850"/>
      <c r="P91" s="830">
        <f>P90-O90</f>
        <v>-199.35021750821625</v>
      </c>
      <c r="Q91" s="829"/>
      <c r="R91" s="830">
        <f>R90-Q90</f>
        <v>-58.332091425156761</v>
      </c>
      <c r="S91" s="850"/>
      <c r="T91" s="830">
        <f>T90-S90</f>
        <v>-108.55321750821622</v>
      </c>
      <c r="U91" s="829"/>
      <c r="V91" s="830">
        <f>V90-U90</f>
        <v>77.47964341201083</v>
      </c>
      <c r="W91" s="829"/>
      <c r="X91" s="830">
        <f>X90-W90</f>
        <v>-212.92159142515669</v>
      </c>
      <c r="Y91" s="829"/>
      <c r="Z91" s="830">
        <f>Z90-Y90</f>
        <v>-166.08121750821624</v>
      </c>
      <c r="AA91" s="850"/>
      <c r="AB91" s="851">
        <f>AB90-AA90</f>
        <v>-258.46459142515664</v>
      </c>
      <c r="AC91" s="121"/>
      <c r="AD91" s="852">
        <f>AD90-AC90</f>
        <v>-277.53413056468469</v>
      </c>
      <c r="AE91" s="829"/>
      <c r="AF91" s="830">
        <f>AF90-AE90</f>
        <v>-299.5296015835076</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399999999999999" customHeight="1" thickBot="1" x14ac:dyDescent="0.35">
      <c r="A92" s="385" t="s">
        <v>874</v>
      </c>
      <c r="B92" s="598" t="s">
        <v>1181</v>
      </c>
      <c r="C92" s="835"/>
      <c r="D92" s="853">
        <f>IF('Система ГВС'!F3=2,0,(D91/C90)*100)</f>
        <v>-37.972476241047637</v>
      </c>
      <c r="E92" s="74"/>
      <c r="F92" s="74"/>
      <c r="G92" s="544" t="s">
        <v>874</v>
      </c>
      <c r="H92" s="545" t="s">
        <v>1181</v>
      </c>
      <c r="I92" s="622"/>
      <c r="J92" s="854">
        <f>(J91/I90)*100</f>
        <v>-44.3227676516888</v>
      </c>
      <c r="K92" s="622"/>
      <c r="L92" s="854">
        <f>(L91/K90)*100</f>
        <v>-41.178687216421316</v>
      </c>
      <c r="M92" s="622"/>
      <c r="N92" s="854">
        <f>(N91/M90)*100</f>
        <v>-51.262735704156015</v>
      </c>
      <c r="O92" s="622"/>
      <c r="P92" s="854">
        <f>(P91/O90)*100</f>
        <v>-40.388124797041733</v>
      </c>
      <c r="Q92" s="630"/>
      <c r="R92" s="837">
        <f>(R91/Q90)*100</f>
        <v>-11.436788357175644</v>
      </c>
      <c r="S92" s="622"/>
      <c r="T92" s="837">
        <f>(T91/S90)*100</f>
        <v>-21.992757021504403</v>
      </c>
      <c r="U92" s="630"/>
      <c r="V92" s="837">
        <f>(V91/U90)*100</f>
        <v>27.70109408282006</v>
      </c>
      <c r="W92" s="630"/>
      <c r="X92" s="837">
        <f>(X91/W90)*100</f>
        <v>-41.746131817114033</v>
      </c>
      <c r="Y92" s="630"/>
      <c r="Z92" s="837">
        <f>(Z91/Y90)*100</f>
        <v>-33.647863659291019</v>
      </c>
      <c r="AA92" s="622"/>
      <c r="AB92" s="837">
        <f>(AB91/AA90)*100</f>
        <v>-50.675447386386033</v>
      </c>
      <c r="AC92" s="620"/>
      <c r="AD92" s="837">
        <f>(AD91/AC90)*100</f>
        <v>-50.605286097571877</v>
      </c>
      <c r="AE92" s="630"/>
      <c r="AF92" s="837">
        <f>(AF91/AE90)*100</f>
        <v>-52.854113725264241</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3">
      <c r="A93" s="824" t="s">
        <v>1221</v>
      </c>
      <c r="B93" s="825" t="s">
        <v>1190</v>
      </c>
      <c r="C93" s="855">
        <f>C85/('Ввод исходных данных'!$G$45+'Ввод исходных данных'!$G$23)</f>
        <v>83.292307284386226</v>
      </c>
      <c r="D93" s="856">
        <f>D85/('Ввод исходных данных'!$G$45+'Ввод исходных данных'!$G$23)</f>
        <v>57.470286129681064</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6" thickBot="1" x14ac:dyDescent="0.35">
      <c r="A94" s="385" t="s">
        <v>874</v>
      </c>
      <c r="B94" s="397" t="s">
        <v>1209</v>
      </c>
      <c r="C94" s="857">
        <f>IF('Система ГВС'!F3=2,0,C86/('Ввод исходных данных'!$G$45+'Ввод исходных данных'!D23))</f>
        <v>7.1631384264572148E-2</v>
      </c>
      <c r="D94" s="858">
        <f>D86/('Ввод исходных данных'!$G$45+'Ввод исходных данных'!D23)</f>
        <v>4.9415551272296701E-2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 thickBot="1" x14ac:dyDescent="0.35">
      <c r="A95" s="859" t="s">
        <v>1222</v>
      </c>
      <c r="B95" s="860" t="s">
        <v>789</v>
      </c>
      <c r="C95" s="861">
        <f>IF('Система ГВС'!F3=2,0,D167*(1-0.4*'Ввод исходных данных'!D21/'Ввод исходных данных'!D20))</f>
        <v>65.758888556916631</v>
      </c>
      <c r="D95" s="862">
        <f>D90*1000/(365*'Ввод исходных данных'!$D$22)</f>
        <v>37.402596826648264</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3">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2" thickBot="1" x14ac:dyDescent="0.35">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3">
      <c r="A98" s="1792" t="s">
        <v>834</v>
      </c>
      <c r="B98" s="1799" t="s">
        <v>1174</v>
      </c>
      <c r="C98" s="1801" t="s">
        <v>1175</v>
      </c>
      <c r="D98" s="1803" t="s">
        <v>1176</v>
      </c>
      <c r="E98" s="74"/>
      <c r="F98" s="74"/>
      <c r="G98" s="1781" t="s">
        <v>834</v>
      </c>
      <c r="H98" s="1783" t="s">
        <v>1174</v>
      </c>
      <c r="I98" s="1766" t="s">
        <v>488</v>
      </c>
      <c r="J98" s="1767"/>
      <c r="K98" s="1766" t="s">
        <v>489</v>
      </c>
      <c r="L98" s="1767"/>
      <c r="M98" s="1766" t="s">
        <v>490</v>
      </c>
      <c r="N98" s="1767"/>
      <c r="O98" s="1766" t="s">
        <v>491</v>
      </c>
      <c r="P98" s="1767"/>
      <c r="Q98" s="1766" t="s">
        <v>805</v>
      </c>
      <c r="R98" s="1767"/>
      <c r="S98" s="1766" t="s">
        <v>806</v>
      </c>
      <c r="T98" s="1767"/>
      <c r="U98" s="1766" t="s">
        <v>807</v>
      </c>
      <c r="V98" s="1767"/>
      <c r="W98" s="1766" t="s">
        <v>808</v>
      </c>
      <c r="X98" s="1767"/>
      <c r="Y98" s="1766" t="s">
        <v>809</v>
      </c>
      <c r="Z98" s="1767"/>
      <c r="AA98" s="1766" t="s">
        <v>482</v>
      </c>
      <c r="AB98" s="1767"/>
      <c r="AC98" s="1766" t="s">
        <v>486</v>
      </c>
      <c r="AD98" s="1767"/>
      <c r="AE98" s="1766" t="s">
        <v>487</v>
      </c>
      <c r="AF98" s="1767"/>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5">
      <c r="A99" s="1793"/>
      <c r="B99" s="1800"/>
      <c r="C99" s="1802"/>
      <c r="D99" s="1804"/>
      <c r="E99" s="74"/>
      <c r="F99" s="74"/>
      <c r="G99" s="1782"/>
      <c r="H99" s="1784"/>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3">
      <c r="A100" s="804" t="s">
        <v>1224</v>
      </c>
      <c r="B100" s="863" t="s">
        <v>842</v>
      </c>
      <c r="C100" s="864">
        <f>C102+C104+C106+C111</f>
        <v>36368.399999999994</v>
      </c>
      <c r="D100" s="841">
        <f>'Ввод исходных данных'!Y235*1000</f>
        <v>16488</v>
      </c>
      <c r="E100" s="74"/>
      <c r="F100" s="74"/>
      <c r="G100" s="808" t="s">
        <v>1225</v>
      </c>
      <c r="H100" s="865" t="s">
        <v>842</v>
      </c>
      <c r="I100" s="810">
        <f>I102+I104+I106+I111</f>
        <v>3060.1000000000004</v>
      </c>
      <c r="J100" s="866">
        <f>'Ввод исходных данных'!$Y$223*1000</f>
        <v>1896</v>
      </c>
      <c r="K100" s="810">
        <f>K102+K104+K106+K111</f>
        <v>3009.7000000000003</v>
      </c>
      <c r="L100" s="866">
        <f>'Ввод исходных данных'!$Y$224*1000</f>
        <v>1405.9999999999998</v>
      </c>
      <c r="M100" s="810">
        <f>M102+M104+M106+M111</f>
        <v>3060.1000000000004</v>
      </c>
      <c r="N100" s="866">
        <f>'Ввод исходных данных'!$Y$225*1000</f>
        <v>1677</v>
      </c>
      <c r="O100" s="810">
        <f>O102+O104+O106+O111</f>
        <v>3043.3</v>
      </c>
      <c r="P100" s="866">
        <f>'Ввод исходных данных'!$Y$226*1000</f>
        <v>1319</v>
      </c>
      <c r="Q100" s="810">
        <f>Q102+Q104+Q106+Q111</f>
        <v>3060.1000000000004</v>
      </c>
      <c r="R100" s="866">
        <f>'Ввод исходных данных'!$Y$227*1000</f>
        <v>597</v>
      </c>
      <c r="S100" s="810">
        <f>S102+S104+S106+S111</f>
        <v>3043.3</v>
      </c>
      <c r="T100" s="866">
        <f>'Ввод исходных данных'!$Y$228*1000</f>
        <v>1438</v>
      </c>
      <c r="U100" s="810">
        <f>U102+U104+U106+U111</f>
        <v>2824.9</v>
      </c>
      <c r="V100" s="866">
        <f>'Ввод исходных данных'!$Y$229*1000</f>
        <v>820</v>
      </c>
      <c r="W100" s="810">
        <f>W102+W104+W106+W111</f>
        <v>3060.1000000000004</v>
      </c>
      <c r="X100" s="866">
        <f>'Ввод исходных данных'!$Y$230*1000</f>
        <v>1237</v>
      </c>
      <c r="Y100" s="810">
        <f>Y102+Y104+Y106+Y111</f>
        <v>3043.3</v>
      </c>
      <c r="Z100" s="866">
        <f>'Ввод исходных данных'!$Y$231*1000</f>
        <v>1294</v>
      </c>
      <c r="AA100" s="810">
        <f>AA102+AA104+AA106+AA111</f>
        <v>3060.1000000000004</v>
      </c>
      <c r="AB100" s="866">
        <f>'Ввод исходных данных'!$Y$232*1000</f>
        <v>930</v>
      </c>
      <c r="AC100" s="810">
        <f>AC102+AC104+AC106+AC111</f>
        <v>3043.3</v>
      </c>
      <c r="AD100" s="866">
        <f>'Ввод исходных данных'!$Y$233*1000</f>
        <v>2606.9999999999995</v>
      </c>
      <c r="AE100" s="810">
        <f>AE102+AE104+AE106+AE111</f>
        <v>3060.1000000000004</v>
      </c>
      <c r="AF100" s="866">
        <f>'Ввод исходных данных'!$Y$234*1000</f>
        <v>1267</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899999999999999" customHeight="1" x14ac:dyDescent="0.3">
      <c r="A101" s="867" t="s">
        <v>874</v>
      </c>
      <c r="B101" s="868" t="s">
        <v>1181</v>
      </c>
      <c r="C101" s="869">
        <f>C100/$C$100</f>
        <v>1</v>
      </c>
      <c r="D101" s="870">
        <f>D100/$D$100</f>
        <v>1</v>
      </c>
      <c r="E101" s="74"/>
      <c r="F101" s="74"/>
      <c r="G101" s="871" t="s">
        <v>874</v>
      </c>
      <c r="H101" s="872" t="s">
        <v>1181</v>
      </c>
      <c r="I101" s="873">
        <f>I103+I105+I107+I112</f>
        <v>99.999999999999986</v>
      </c>
      <c r="J101" s="874">
        <f>J103+J105+J107+J112</f>
        <v>100</v>
      </c>
      <c r="K101" s="873">
        <f>K103+K105+K107+K112</f>
        <v>100</v>
      </c>
      <c r="L101" s="874">
        <f>L103+L105+L107+L112</f>
        <v>100</v>
      </c>
      <c r="M101" s="873">
        <f>M103+M105+M107+M112</f>
        <v>99.999999999999986</v>
      </c>
      <c r="N101" s="874">
        <f>N103+N105+N107+N112</f>
        <v>99.999999999999986</v>
      </c>
      <c r="O101" s="873">
        <f>O103+O105+O107+O112</f>
        <v>100</v>
      </c>
      <c r="P101" s="874">
        <f>P103+P105+P107+P112</f>
        <v>100</v>
      </c>
      <c r="Q101" s="873">
        <f>Q103+Q105+Q107+Q112</f>
        <v>99.999999999999986</v>
      </c>
      <c r="R101" s="874">
        <f>R103+R105+R107+R112</f>
        <v>100</v>
      </c>
      <c r="S101" s="873">
        <f>S103+S105+S107+S112</f>
        <v>100</v>
      </c>
      <c r="T101" s="874">
        <f>T103+T105+T107+T112</f>
        <v>100</v>
      </c>
      <c r="U101" s="873">
        <f>U103+U105+U107+U112</f>
        <v>100</v>
      </c>
      <c r="V101" s="874">
        <f>V103+V105+V107+V112</f>
        <v>100</v>
      </c>
      <c r="W101" s="873">
        <f>W103+W105+W107+W112</f>
        <v>99.999999999999986</v>
      </c>
      <c r="X101" s="874">
        <f>X103+X105+X107+X112</f>
        <v>100</v>
      </c>
      <c r="Y101" s="873">
        <f>Y103+Y105+Y107+Y112</f>
        <v>100</v>
      </c>
      <c r="Z101" s="874">
        <f>Z103+Z105+Z107+Z112</f>
        <v>100</v>
      </c>
      <c r="AA101" s="873">
        <f>AA103+AA105+AA107+AA112</f>
        <v>99.999999999999986</v>
      </c>
      <c r="AB101" s="874">
        <f>AB103+AB105+AB107+AB112</f>
        <v>100.00000000000001</v>
      </c>
      <c r="AC101" s="873">
        <f>AC103+AC105+AC107+AC112</f>
        <v>100</v>
      </c>
      <c r="AD101" s="874">
        <f>AD103+AD105+AD107+AD112</f>
        <v>100.00000000000003</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3">
      <c r="A102" s="876" t="s">
        <v>1226</v>
      </c>
      <c r="B102" s="877" t="s">
        <v>842</v>
      </c>
      <c r="C102" s="878">
        <f>SUM('Система электроснабжения'!B18:B22)</f>
        <v>6711.6</v>
      </c>
      <c r="D102" s="879">
        <f>'Ввод исходных данных'!Z235*1000</f>
        <v>3042.7750684660314</v>
      </c>
      <c r="E102" s="74"/>
      <c r="F102" s="74"/>
      <c r="G102" s="880" t="s">
        <v>1226</v>
      </c>
      <c r="H102" s="881" t="s">
        <v>842</v>
      </c>
      <c r="I102" s="882">
        <f>$C$102/12</f>
        <v>559.30000000000007</v>
      </c>
      <c r="J102" s="875">
        <f>'Ввод исходных данных'!$Z$223*1000</f>
        <v>346.53534198228812</v>
      </c>
      <c r="K102" s="882">
        <f>$C$102/12</f>
        <v>559.30000000000007</v>
      </c>
      <c r="L102" s="875">
        <f>'Ввод исходных данных'!$Z$224*1000</f>
        <v>261.28045984649629</v>
      </c>
      <c r="M102" s="882">
        <f>$C$102/12</f>
        <v>559.30000000000007</v>
      </c>
      <c r="N102" s="875">
        <f>'Ввод исходных данных'!$Z$225*1000</f>
        <v>306.50831672167573</v>
      </c>
      <c r="O102" s="882">
        <f>$C$102/12</f>
        <v>559.30000000000007</v>
      </c>
      <c r="P102" s="875">
        <f>'Ввод исходных данных'!$Z$226*1000</f>
        <v>242.40682811421809</v>
      </c>
      <c r="Q102" s="882">
        <f>$C$102/12</f>
        <v>559.30000000000007</v>
      </c>
      <c r="R102" s="875">
        <f>'Ввод исходных данных'!$Z$227*1000</f>
        <v>109.11476749125843</v>
      </c>
      <c r="S102" s="882">
        <f>$C$102/12</f>
        <v>559.30000000000007</v>
      </c>
      <c r="T102" s="875">
        <f>'Ввод исходных данных'!$Z$228*1000</f>
        <v>264.2767390661453</v>
      </c>
      <c r="U102" s="882">
        <f>$C$102/12</f>
        <v>559.30000000000007</v>
      </c>
      <c r="V102" s="875">
        <f>'Ввод исходных данных'!$Z$229*1000</f>
        <v>162.35123367198835</v>
      </c>
      <c r="W102" s="882">
        <f>$C$102/12</f>
        <v>559.30000000000007</v>
      </c>
      <c r="X102" s="875">
        <f>'Ввод исходных данных'!$Z$230*1000</f>
        <v>226.08872259076497</v>
      </c>
      <c r="Y102" s="882">
        <f>$C$102/12</f>
        <v>559.30000000000007</v>
      </c>
      <c r="Z102" s="875">
        <f>'Ввод исходных данных'!$Z$231*1000</f>
        <v>237.81230900667035</v>
      </c>
      <c r="AA102" s="882">
        <f>$C$102/12</f>
        <v>559.30000000000007</v>
      </c>
      <c r="AB102" s="875">
        <f>'Ввод исходных данных'!$Z$232*1000</f>
        <v>169.97777850397048</v>
      </c>
      <c r="AC102" s="882">
        <f>$C$102/12</f>
        <v>559.30000000000007</v>
      </c>
      <c r="AD102" s="875">
        <f>'Ввод исходных данных'!$Z$233*1000</f>
        <v>479.11645253507709</v>
      </c>
      <c r="AE102" s="882">
        <f>$C$102/12</f>
        <v>559.30000000000007</v>
      </c>
      <c r="AF102" s="875">
        <f>'Ввод исходных данных'!$Z$234*1000</f>
        <v>231.57187673605438</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3">
      <c r="A103" s="358" t="s">
        <v>874</v>
      </c>
      <c r="B103" s="877" t="s">
        <v>1181</v>
      </c>
      <c r="C103" s="883">
        <f>C102/$C$100</f>
        <v>0.18454482462797378</v>
      </c>
      <c r="D103" s="884">
        <f>D102/$D$100</f>
        <v>0.18454482462797375</v>
      </c>
      <c r="E103" s="74"/>
      <c r="F103" s="74"/>
      <c r="G103" s="539" t="s">
        <v>874</v>
      </c>
      <c r="H103" s="881" t="s">
        <v>1181</v>
      </c>
      <c r="I103" s="882">
        <f t="shared" ref="I103:AF103" si="194">(I102/I100)*100</f>
        <v>18.277180484297897</v>
      </c>
      <c r="J103" s="885">
        <f t="shared" si="194"/>
        <v>18.277180484297897</v>
      </c>
      <c r="K103" s="886">
        <f t="shared" si="194"/>
        <v>18.583247499750808</v>
      </c>
      <c r="L103" s="887">
        <f t="shared" si="194"/>
        <v>18.583247499750804</v>
      </c>
      <c r="M103" s="886">
        <f t="shared" si="194"/>
        <v>18.277180484297897</v>
      </c>
      <c r="N103" s="887">
        <f t="shared" si="194"/>
        <v>18.277180484297897</v>
      </c>
      <c r="O103" s="886">
        <f t="shared" si="194"/>
        <v>18.378076430190912</v>
      </c>
      <c r="P103" s="887">
        <f t="shared" si="194"/>
        <v>18.378076430190909</v>
      </c>
      <c r="Q103" s="886">
        <f t="shared" si="194"/>
        <v>18.277180484297897</v>
      </c>
      <c r="R103" s="887">
        <f t="shared" si="194"/>
        <v>18.277180484297894</v>
      </c>
      <c r="S103" s="886">
        <f t="shared" si="194"/>
        <v>18.378076430190912</v>
      </c>
      <c r="T103" s="887">
        <f t="shared" si="194"/>
        <v>18.378076430190909</v>
      </c>
      <c r="U103" s="886">
        <f t="shared" si="194"/>
        <v>19.798930935608343</v>
      </c>
      <c r="V103" s="887">
        <f t="shared" si="194"/>
        <v>19.798930935608336</v>
      </c>
      <c r="W103" s="886">
        <f t="shared" si="194"/>
        <v>18.277180484297897</v>
      </c>
      <c r="X103" s="887">
        <f t="shared" si="194"/>
        <v>18.277180484297894</v>
      </c>
      <c r="Y103" s="886">
        <f t="shared" si="194"/>
        <v>18.378076430190912</v>
      </c>
      <c r="Z103" s="887">
        <f t="shared" si="194"/>
        <v>18.378076430190905</v>
      </c>
      <c r="AA103" s="886">
        <f t="shared" si="194"/>
        <v>18.277180484297897</v>
      </c>
      <c r="AB103" s="887">
        <f t="shared" si="194"/>
        <v>18.277180484297901</v>
      </c>
      <c r="AC103" s="886">
        <f t="shared" si="194"/>
        <v>18.378076430190912</v>
      </c>
      <c r="AD103" s="887">
        <f t="shared" si="194"/>
        <v>18.378076430190916</v>
      </c>
      <c r="AE103" s="886">
        <f t="shared" si="194"/>
        <v>18.277180484297897</v>
      </c>
      <c r="AF103" s="887">
        <f t="shared" si="194"/>
        <v>18.277180484297897</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3">
      <c r="A104" s="876" t="s">
        <v>1233</v>
      </c>
      <c r="B104" s="877" t="s">
        <v>842</v>
      </c>
      <c r="C104" s="878">
        <f>'Ввод исходных данных'!D140*'Ввод исходных данных'!D141</f>
        <v>23760</v>
      </c>
      <c r="D104" s="879">
        <f>'Ввод исходных данных'!AA235*1000</f>
        <v>10771.848087900486</v>
      </c>
      <c r="E104" s="74"/>
      <c r="F104" s="74"/>
      <c r="G104" s="880" t="s">
        <v>1233</v>
      </c>
      <c r="H104" s="881" t="s">
        <v>842</v>
      </c>
      <c r="I104" s="888">
        <f>C104/12</f>
        <v>1980</v>
      </c>
      <c r="J104" s="615">
        <f>'Ввод исходных данных'!$AA$223*1000</f>
        <v>1226.7834384497239</v>
      </c>
      <c r="K104" s="888">
        <f>I104</f>
        <v>1980</v>
      </c>
      <c r="L104" s="615">
        <f>'Ввод исходных данных'!$AA$224*1000</f>
        <v>924.96926603980444</v>
      </c>
      <c r="M104" s="888">
        <f>K104</f>
        <v>1980</v>
      </c>
      <c r="N104" s="615">
        <f>'Ввод исходных данных'!$AA$225*1000</f>
        <v>1085.0821868566386</v>
      </c>
      <c r="O104" s="888">
        <f>M104</f>
        <v>1980</v>
      </c>
      <c r="P104" s="615">
        <f>'Ввод исходных данных'!$AA$226*1000</f>
        <v>858.15397759011603</v>
      </c>
      <c r="Q104" s="888">
        <f>O104</f>
        <v>1980</v>
      </c>
      <c r="R104" s="615">
        <f>'Ввод исходных данных'!$AA$227*1000</f>
        <v>386.2814940688213</v>
      </c>
      <c r="S104" s="888">
        <f>Q104</f>
        <v>1980</v>
      </c>
      <c r="T104" s="615">
        <f>'Ввод исходных данных'!$AA$228*1000</f>
        <v>935.57651233857973</v>
      </c>
      <c r="U104" s="888">
        <f>S104</f>
        <v>1980</v>
      </c>
      <c r="V104" s="615">
        <f>'Ввод исходных данных'!$AA$229*1000</f>
        <v>574.74600870827283</v>
      </c>
      <c r="W104" s="888">
        <f>U104</f>
        <v>1980</v>
      </c>
      <c r="X104" s="615">
        <f>'Ввод исходных данных'!$AA$230*1000</f>
        <v>800.38560831345399</v>
      </c>
      <c r="Y104" s="888">
        <f>W104</f>
        <v>1980</v>
      </c>
      <c r="Z104" s="615">
        <f>'Ввод исходных данных'!$AA$231*1000</f>
        <v>841.88873919758157</v>
      </c>
      <c r="AA104" s="888">
        <f>Y104</f>
        <v>1980</v>
      </c>
      <c r="AB104" s="615">
        <f>'Ввод исходных данных'!$AA$232*1000</f>
        <v>601.74504101173181</v>
      </c>
      <c r="AC104" s="888">
        <f>AA104</f>
        <v>1980</v>
      </c>
      <c r="AD104" s="615">
        <f>'Ввод исходных данных'!$AA$233*1000</f>
        <v>1696.1390595734892</v>
      </c>
      <c r="AE104" s="888">
        <f>AC104</f>
        <v>1980</v>
      </c>
      <c r="AF104" s="615">
        <f>'Ввод исходных данных'!$AA$234*1000</f>
        <v>819.79673866867086</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3">
      <c r="A105" s="358" t="s">
        <v>874</v>
      </c>
      <c r="B105" s="877" t="s">
        <v>1181</v>
      </c>
      <c r="C105" s="883">
        <f>C104/$C$100</f>
        <v>0.65331441581152883</v>
      </c>
      <c r="D105" s="884">
        <f>D104/$D$100</f>
        <v>0.65331441581152871</v>
      </c>
      <c r="E105" s="74"/>
      <c r="F105" s="74"/>
      <c r="G105" s="539" t="s">
        <v>874</v>
      </c>
      <c r="H105" s="881" t="s">
        <v>1181</v>
      </c>
      <c r="I105" s="882">
        <f t="shared" ref="I105:AF105" si="195">(I104/I100)*100</f>
        <v>64.703767850723821</v>
      </c>
      <c r="J105" s="885">
        <f t="shared" si="195"/>
        <v>64.703767850723835</v>
      </c>
      <c r="K105" s="886">
        <f t="shared" si="195"/>
        <v>65.787287769545131</v>
      </c>
      <c r="L105" s="887">
        <f t="shared" si="195"/>
        <v>65.787287769545131</v>
      </c>
      <c r="M105" s="886">
        <f t="shared" si="195"/>
        <v>64.703767850723821</v>
      </c>
      <c r="N105" s="887">
        <f t="shared" si="195"/>
        <v>64.703767850723821</v>
      </c>
      <c r="O105" s="886">
        <f t="shared" si="195"/>
        <v>65.060953570137684</v>
      </c>
      <c r="P105" s="887">
        <f t="shared" si="195"/>
        <v>65.060953570137684</v>
      </c>
      <c r="Q105" s="886">
        <f t="shared" si="195"/>
        <v>64.703767850723821</v>
      </c>
      <c r="R105" s="887">
        <f t="shared" si="195"/>
        <v>64.703767850723835</v>
      </c>
      <c r="S105" s="886">
        <f t="shared" si="195"/>
        <v>65.060953570137684</v>
      </c>
      <c r="T105" s="887">
        <f t="shared" si="195"/>
        <v>65.06095357013767</v>
      </c>
      <c r="U105" s="886">
        <f t="shared" si="195"/>
        <v>70.090976671740592</v>
      </c>
      <c r="V105" s="887">
        <f t="shared" si="195"/>
        <v>70.090976671740592</v>
      </c>
      <c r="W105" s="886">
        <f t="shared" si="195"/>
        <v>64.703767850723821</v>
      </c>
      <c r="X105" s="887">
        <f t="shared" si="195"/>
        <v>64.70376785072385</v>
      </c>
      <c r="Y105" s="886">
        <f t="shared" si="195"/>
        <v>65.060953570137684</v>
      </c>
      <c r="Z105" s="887">
        <f t="shared" si="195"/>
        <v>65.060953570137684</v>
      </c>
      <c r="AA105" s="886">
        <f t="shared" si="195"/>
        <v>64.703767850723821</v>
      </c>
      <c r="AB105" s="887">
        <f t="shared" si="195"/>
        <v>64.70376785072385</v>
      </c>
      <c r="AC105" s="886">
        <f t="shared" si="195"/>
        <v>65.060953570137684</v>
      </c>
      <c r="AD105" s="887">
        <f t="shared" si="195"/>
        <v>65.060953570137698</v>
      </c>
      <c r="AE105" s="886">
        <f t="shared" si="195"/>
        <v>64.703767850723821</v>
      </c>
      <c r="AF105" s="887">
        <f t="shared" si="195"/>
        <v>64.703767850723821</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3">
      <c r="A106" s="876" t="s">
        <v>1235</v>
      </c>
      <c r="B106" s="877" t="s">
        <v>842</v>
      </c>
      <c r="C106" s="878">
        <f>C108+C109+C110</f>
        <v>5896.7999999999993</v>
      </c>
      <c r="D106" s="879">
        <f>'Ввод исходных данных'!AB235*1000</f>
        <v>2673.3768436334831</v>
      </c>
      <c r="E106" s="74"/>
      <c r="F106" s="74"/>
      <c r="G106" s="880" t="s">
        <v>1234</v>
      </c>
      <c r="H106" s="881" t="s">
        <v>842</v>
      </c>
      <c r="I106" s="878">
        <f>I108+I109+I110</f>
        <v>520.79999999999995</v>
      </c>
      <c r="J106" s="875">
        <f>'Ввод исходных данных'!$AB$223*1000</f>
        <v>322.68121956798791</v>
      </c>
      <c r="K106" s="878">
        <f>K108+K109+K110</f>
        <v>470.4</v>
      </c>
      <c r="L106" s="875">
        <f>'Ввод исходных данных'!$AB$224*1000</f>
        <v>219.75027411369899</v>
      </c>
      <c r="M106" s="878">
        <f>M108+M109+M110</f>
        <v>520.79999999999995</v>
      </c>
      <c r="N106" s="875">
        <f>'Ввод исходных данных'!$AB$225*1000</f>
        <v>285.4094964216855</v>
      </c>
      <c r="O106" s="878">
        <f>O108+O109+O110</f>
        <v>504</v>
      </c>
      <c r="P106" s="875">
        <f>'Ввод исходных данных'!$AB$226*1000</f>
        <v>218.43919429566589</v>
      </c>
      <c r="Q106" s="878">
        <f>Q108+Q109+Q110</f>
        <v>520.79999999999995</v>
      </c>
      <c r="R106" s="875">
        <f>'Ввод исходных данных'!$AB$227*1000</f>
        <v>101.60373843992024</v>
      </c>
      <c r="S106" s="878">
        <f>S108+S109+S110</f>
        <v>504</v>
      </c>
      <c r="T106" s="875">
        <f>'Ввод исходных данных'!$AB$228*1000</f>
        <v>238.14674859527483</v>
      </c>
      <c r="U106" s="878">
        <f>U108+U109+U110</f>
        <v>285.59999999999997</v>
      </c>
      <c r="V106" s="875">
        <f>'Ввод исходных данных'!$AB$229*1000</f>
        <v>82.902757619738722</v>
      </c>
      <c r="W106" s="878">
        <f>W108+W109+W110</f>
        <v>520.79999999999995</v>
      </c>
      <c r="X106" s="875">
        <f>'Ввод исходных данных'!$AB$230*1000</f>
        <v>210.52566909578115</v>
      </c>
      <c r="Y106" s="878">
        <f>Y108+Y109+Y110</f>
        <v>504</v>
      </c>
      <c r="Z106" s="875">
        <f>'Ввод исходных данных'!$AB$231*1000</f>
        <v>214.29895179574802</v>
      </c>
      <c r="AA106" s="878">
        <f>AA108+AA109+AA110</f>
        <v>520.79999999999995</v>
      </c>
      <c r="AB106" s="875">
        <f>'Ввод исходных данных'!$AB$232*1000</f>
        <v>158.27718048429787</v>
      </c>
      <c r="AC106" s="878">
        <f>AC108+AC109+AC110</f>
        <v>504</v>
      </c>
      <c r="AD106" s="875">
        <f>'Ввод исходных данных'!$AB$233*1000</f>
        <v>431.74448789143366</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520.79999999999995</v>
      </c>
      <c r="AF106" s="875">
        <f>'Ввод исходных данных'!$AB$234*1000</f>
        <v>215.6313845952746</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3">
      <c r="A107" s="358" t="s">
        <v>874</v>
      </c>
      <c r="B107" s="877" t="s">
        <v>1181</v>
      </c>
      <c r="C107" s="883">
        <f>C106/$C$100</f>
        <v>0.16214075956049759</v>
      </c>
      <c r="D107" s="884">
        <f>D106/$D$100</f>
        <v>0.1621407595604975</v>
      </c>
      <c r="E107" s="74"/>
      <c r="F107" s="74"/>
      <c r="G107" s="539" t="s">
        <v>874</v>
      </c>
      <c r="H107" s="881" t="s">
        <v>1181</v>
      </c>
      <c r="I107" s="886">
        <f t="shared" ref="I107:AF107" si="196">(I106/I100)*100</f>
        <v>17.019051664978267</v>
      </c>
      <c r="J107" s="887">
        <f t="shared" si="196"/>
        <v>17.019051664978267</v>
      </c>
      <c r="K107" s="886">
        <f t="shared" si="196"/>
        <v>15.629464730704054</v>
      </c>
      <c r="L107" s="887">
        <f t="shared" si="196"/>
        <v>15.629464730704058</v>
      </c>
      <c r="M107" s="886">
        <f t="shared" si="196"/>
        <v>17.019051664978267</v>
      </c>
      <c r="N107" s="887">
        <f t="shared" si="196"/>
        <v>17.019051664978267</v>
      </c>
      <c r="O107" s="886">
        <f t="shared" si="196"/>
        <v>16.560969999671407</v>
      </c>
      <c r="P107" s="887">
        <f t="shared" si="196"/>
        <v>16.560969999671411</v>
      </c>
      <c r="Q107" s="886">
        <f t="shared" si="196"/>
        <v>17.019051664978267</v>
      </c>
      <c r="R107" s="887">
        <f t="shared" si="196"/>
        <v>17.019051664978264</v>
      </c>
      <c r="S107" s="886">
        <f t="shared" si="196"/>
        <v>16.560969999671407</v>
      </c>
      <c r="T107" s="887">
        <f t="shared" si="196"/>
        <v>16.560969999671407</v>
      </c>
      <c r="U107" s="886">
        <f t="shared" si="196"/>
        <v>10.110092392651065</v>
      </c>
      <c r="V107" s="887">
        <f t="shared" si="196"/>
        <v>10.110092392651064</v>
      </c>
      <c r="W107" s="886">
        <f t="shared" si="196"/>
        <v>17.019051664978267</v>
      </c>
      <c r="X107" s="887">
        <f t="shared" si="196"/>
        <v>17.019051664978267</v>
      </c>
      <c r="Y107" s="886">
        <f t="shared" si="196"/>
        <v>16.560969999671407</v>
      </c>
      <c r="Z107" s="887">
        <f t="shared" si="196"/>
        <v>16.560969999671407</v>
      </c>
      <c r="AA107" s="886">
        <f t="shared" si="196"/>
        <v>17.019051664978267</v>
      </c>
      <c r="AB107" s="887">
        <f t="shared" si="196"/>
        <v>17.019051664978267</v>
      </c>
      <c r="AC107" s="886">
        <f t="shared" si="196"/>
        <v>16.560969999671407</v>
      </c>
      <c r="AD107" s="887">
        <f t="shared" si="196"/>
        <v>16.560969999671414</v>
      </c>
      <c r="AE107" s="886">
        <f t="shared" si="196"/>
        <v>17.019051664978267</v>
      </c>
      <c r="AF107" s="887">
        <f t="shared" si="196"/>
        <v>17.019051664978264</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3">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3">
      <c r="A109" s="358" t="s">
        <v>1410</v>
      </c>
      <c r="B109" s="877" t="s">
        <v>842</v>
      </c>
      <c r="C109" s="889">
        <f>'Ввод исходных данных'!D150*'Ввод исходных данных'!D151</f>
        <v>5896.7999999999993</v>
      </c>
      <c r="D109" s="890">
        <f>'Ввод исходных данных'!AD235*1000</f>
        <v>2673.3768436334831</v>
      </c>
      <c r="E109" s="74"/>
      <c r="F109" s="74"/>
      <c r="G109" s="358" t="s">
        <v>1410</v>
      </c>
      <c r="H109" s="877" t="s">
        <v>842</v>
      </c>
      <c r="I109" s="886">
        <f>'Ввод исходных данных'!$D$150*'Расчет базового уровня'!$G$170*24</f>
        <v>520.79999999999995</v>
      </c>
      <c r="J109" s="887"/>
      <c r="K109" s="886">
        <f>'Ввод исходных данных'!$D$150*'Расчет базового уровня'!$H$170*24</f>
        <v>470.4</v>
      </c>
      <c r="L109" s="887"/>
      <c r="M109" s="886">
        <f>'Ввод исходных данных'!$D$150*'Расчет базового уровня'!$I$170*24</f>
        <v>520.79999999999995</v>
      </c>
      <c r="N109" s="887"/>
      <c r="O109" s="888">
        <f>'Ввод исходных данных'!$D$150*'Расчет базового уровня'!$J$170*24</f>
        <v>504</v>
      </c>
      <c r="P109" s="887"/>
      <c r="Q109" s="888">
        <f>'Ввод исходных данных'!$D$150*'Расчет базового уровня'!$K$170*24</f>
        <v>520.79999999999995</v>
      </c>
      <c r="R109" s="887"/>
      <c r="S109" s="888">
        <f>'Ввод исходных данных'!$D$150*'Расчет базового уровня'!$L$170*24</f>
        <v>504</v>
      </c>
      <c r="T109" s="887"/>
      <c r="U109" s="888">
        <f>'Ввод исходных данных'!$D$150*'Расчет базового уровня'!$M$170*24</f>
        <v>285.59999999999997</v>
      </c>
      <c r="V109" s="887"/>
      <c r="W109" s="888">
        <f>'Ввод исходных данных'!$D$150*'Расчет базового уровня'!$N$170*24</f>
        <v>520.79999999999995</v>
      </c>
      <c r="X109" s="887"/>
      <c r="Y109" s="888">
        <f>'Ввод исходных данных'!$D$150*'Расчет базового уровня'!$O$170*24</f>
        <v>504</v>
      </c>
      <c r="Z109" s="887"/>
      <c r="AA109" s="888">
        <f>'Ввод исходных данных'!$D$150*'Расчет базового уровня'!$P$170*24</f>
        <v>520.79999999999995</v>
      </c>
      <c r="AB109" s="887"/>
      <c r="AC109" s="888">
        <f>'Ввод исходных данных'!$D$150*'Расчет базового уровня'!$Q$170*24</f>
        <v>504</v>
      </c>
      <c r="AD109" s="887"/>
      <c r="AE109" s="886">
        <f>'Ввод исходных данных'!$D$150*'Расчет базового уровня'!$R$170*24</f>
        <v>520.79999999999995</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3">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3">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5">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3">
      <c r="A113" s="824" t="s">
        <v>1228</v>
      </c>
      <c r="B113" s="825" t="s">
        <v>842</v>
      </c>
      <c r="C113" s="658"/>
      <c r="D113" s="538">
        <f>D100-C100</f>
        <v>-19880.399999999994</v>
      </c>
      <c r="E113" s="74"/>
      <c r="F113" s="74"/>
      <c r="G113" s="824" t="s">
        <v>1229</v>
      </c>
      <c r="H113" s="897" t="s">
        <v>842</v>
      </c>
      <c r="I113" s="898"/>
      <c r="J113" s="899">
        <f>J100-I100</f>
        <v>-1164.1000000000004</v>
      </c>
      <c r="K113" s="900"/>
      <c r="L113" s="901">
        <f>L100-K100</f>
        <v>-1603.7000000000005</v>
      </c>
      <c r="M113" s="902"/>
      <c r="N113" s="903">
        <f>N100-M100</f>
        <v>-1383.1000000000004</v>
      </c>
      <c r="O113" s="904"/>
      <c r="P113" s="903">
        <f>P100-O100</f>
        <v>-1724.3000000000002</v>
      </c>
      <c r="Q113" s="902"/>
      <c r="R113" s="903">
        <f>R100-Q100</f>
        <v>-2463.1000000000004</v>
      </c>
      <c r="S113" s="902"/>
      <c r="T113" s="903">
        <f>T100-S100</f>
        <v>-1605.3000000000002</v>
      </c>
      <c r="U113" s="902"/>
      <c r="V113" s="903">
        <f>V100-U100</f>
        <v>-2004.9</v>
      </c>
      <c r="W113" s="902"/>
      <c r="X113" s="903">
        <f>X100-W100</f>
        <v>-1823.1000000000004</v>
      </c>
      <c r="Y113" s="902"/>
      <c r="Z113" s="903">
        <f>Z100-Y100</f>
        <v>-1749.3000000000002</v>
      </c>
      <c r="AA113" s="902"/>
      <c r="AB113" s="903">
        <f>AB100-AA100</f>
        <v>-2130.1000000000004</v>
      </c>
      <c r="AC113" s="902"/>
      <c r="AD113" s="903">
        <f>AD100-AC100</f>
        <v>-436.30000000000064</v>
      </c>
      <c r="AE113" s="902"/>
      <c r="AF113" s="903">
        <f>AF100-AE100</f>
        <v>-1793.1000000000004</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 thickBot="1" x14ac:dyDescent="0.35">
      <c r="A114" s="385" t="s">
        <v>874</v>
      </c>
      <c r="B114" s="386" t="s">
        <v>1181</v>
      </c>
      <c r="C114" s="905"/>
      <c r="D114" s="906">
        <f>(D113/C100)*100</f>
        <v>-54.663939023987851</v>
      </c>
      <c r="E114" s="74"/>
      <c r="F114" s="74"/>
      <c r="G114" s="385" t="s">
        <v>874</v>
      </c>
      <c r="H114" s="907" t="s">
        <v>1181</v>
      </c>
      <c r="I114" s="908"/>
      <c r="J114" s="909">
        <f>(J113/I100)*100</f>
        <v>-38.041240482337187</v>
      </c>
      <c r="K114" s="908"/>
      <c r="L114" s="909">
        <f>(L113/K100)*100</f>
        <v>-53.284380503040182</v>
      </c>
      <c r="M114" s="894"/>
      <c r="N114" s="906">
        <f>(N113/M100)*100</f>
        <v>-45.197869350674821</v>
      </c>
      <c r="O114" s="894"/>
      <c r="P114" s="906">
        <f>(P113/O100)*100</f>
        <v>-56.658890020701214</v>
      </c>
      <c r="Q114" s="894"/>
      <c r="R114" s="906">
        <f>(R113/Q100)*100</f>
        <v>-80.490833632887814</v>
      </c>
      <c r="S114" s="894"/>
      <c r="T114" s="906">
        <f>(T113/S100)*100</f>
        <v>-52.748660993001018</v>
      </c>
      <c r="U114" s="894"/>
      <c r="V114" s="906">
        <f>(V113/U100)*100</f>
        <v>-70.972423802612482</v>
      </c>
      <c r="W114" s="894"/>
      <c r="X114" s="906">
        <f>(X113/W100)*100</f>
        <v>-59.576484428613455</v>
      </c>
      <c r="Y114" s="894"/>
      <c r="Z114" s="906">
        <f>(Z113/Y100)*100</f>
        <v>-57.480366707192857</v>
      </c>
      <c r="AA114" s="894"/>
      <c r="AB114" s="906">
        <f>(AB113/AA100)*100</f>
        <v>-69.608836312538813</v>
      </c>
      <c r="AC114" s="894"/>
      <c r="AD114" s="906">
        <f>(AD113/AC100)*100</f>
        <v>-14.336411132652074</v>
      </c>
      <c r="AE114" s="894"/>
      <c r="AF114" s="906">
        <f>(AF113/AE100)*100</f>
        <v>-58.596124309663089</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6" thickBot="1" x14ac:dyDescent="0.35">
      <c r="A115" s="910" t="s">
        <v>1230</v>
      </c>
      <c r="B115" s="911" t="s">
        <v>1190</v>
      </c>
      <c r="C115" s="465">
        <f>C100/('Ввод исходных данных'!$G$45++'Ввод исходных данных'!D23)</f>
        <v>5.3213742245112954</v>
      </c>
      <c r="D115" s="465">
        <f>D100/('Ввод исходных данных'!$G$45+'Ввод исходных данных'!D23)</f>
        <v>2.4125014631862345</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3">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3">
      <c r="A134" s="480" t="s">
        <v>514</v>
      </c>
      <c r="B134" s="483">
        <f>'Ввод исходных данных'!G51</f>
        <v>4038.8</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0.84977584737043255</v>
      </c>
      <c r="D134" s="481">
        <v>1</v>
      </c>
      <c r="E134" s="483">
        <f>IF(C134=0,0,B134/C134*D134)</f>
        <v>4752.7827632401686</v>
      </c>
      <c r="F134" s="484">
        <f>E134*(20-$D$145)</f>
        <v>185358.52776636658</v>
      </c>
      <c r="G134" s="483">
        <f t="shared" ref="G134:R134" si="198">$E$134*0.024*G$147</f>
        <v>78500.762343885217</v>
      </c>
      <c r="H134" s="483">
        <f t="shared" si="198"/>
        <v>69306.979366673448</v>
      </c>
      <c r="I134" s="483">
        <f t="shared" si="198"/>
        <v>64710.087878067556</v>
      </c>
      <c r="J134" s="483">
        <f t="shared" si="198"/>
        <v>28066.132773485846</v>
      </c>
      <c r="K134" s="483">
        <f t="shared" si="198"/>
        <v>0</v>
      </c>
      <c r="L134" s="483">
        <f t="shared" si="198"/>
        <v>0</v>
      </c>
      <c r="M134" s="483">
        <f t="shared" si="198"/>
        <v>0</v>
      </c>
      <c r="N134" s="483">
        <f t="shared" si="198"/>
        <v>0</v>
      </c>
      <c r="O134" s="483">
        <f t="shared" si="198"/>
        <v>0</v>
      </c>
      <c r="P134" s="483">
        <f t="shared" si="198"/>
        <v>24689.755898480027</v>
      </c>
      <c r="Q134" s="483">
        <f t="shared" si="198"/>
        <v>56805.25958624651</v>
      </c>
      <c r="R134" s="483">
        <f t="shared" si="198"/>
        <v>72135.835667353982</v>
      </c>
      <c r="S134" s="74"/>
      <c r="T134" s="74"/>
      <c r="U134" s="74"/>
      <c r="V134" s="74"/>
      <c r="W134" s="74"/>
      <c r="X134" s="74"/>
      <c r="Y134" s="74"/>
      <c r="Z134" s="74"/>
      <c r="AA134" s="74"/>
      <c r="AB134" s="74"/>
      <c r="AC134" s="74"/>
      <c r="AD134" s="74"/>
      <c r="AE134" s="74"/>
      <c r="AF134" s="74"/>
      <c r="AG134" s="74"/>
      <c r="AH134" s="74"/>
    </row>
    <row r="135" spans="1:67" x14ac:dyDescent="0.3">
      <c r="A135" s="480" t="s">
        <v>611</v>
      </c>
      <c r="B135" s="483">
        <f>'Ввод исходных данных'!G53</f>
        <v>1170</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0.57999999999999996</v>
      </c>
      <c r="D135" s="481">
        <v>1</v>
      </c>
      <c r="E135" s="483">
        <f t="shared" ref="E135:E138" si="199">IF(C135=0,0,B135/C135*D135)</f>
        <v>2017.2413793103449</v>
      </c>
      <c r="F135" s="484">
        <f t="shared" ref="F135:F143" si="200">E135*(20-$D$145)</f>
        <v>78672.413793103449</v>
      </c>
      <c r="G135" s="483">
        <f t="shared" ref="G135:R135" si="201">$E$135*0.024*G$147</f>
        <v>33318.372413793099</v>
      </c>
      <c r="H135" s="483">
        <f t="shared" si="201"/>
        <v>29416.220689655176</v>
      </c>
      <c r="I135" s="483">
        <f t="shared" si="201"/>
        <v>27465.144827586209</v>
      </c>
      <c r="J135" s="483">
        <f t="shared" si="201"/>
        <v>11912.213793103449</v>
      </c>
      <c r="K135" s="483">
        <f t="shared" si="201"/>
        <v>0</v>
      </c>
      <c r="L135" s="483">
        <f t="shared" si="201"/>
        <v>0</v>
      </c>
      <c r="M135" s="483">
        <f t="shared" si="201"/>
        <v>0</v>
      </c>
      <c r="N135" s="483">
        <f t="shared" si="201"/>
        <v>0</v>
      </c>
      <c r="O135" s="483">
        <f t="shared" si="201"/>
        <v>0</v>
      </c>
      <c r="P135" s="483">
        <f t="shared" si="201"/>
        <v>10479.165517241379</v>
      </c>
      <c r="Q135" s="483">
        <f t="shared" si="201"/>
        <v>24110.068965517246</v>
      </c>
      <c r="R135" s="483">
        <f t="shared" si="201"/>
        <v>30616.88275862069</v>
      </c>
      <c r="S135" s="74"/>
      <c r="T135" s="74"/>
      <c r="U135" s="74"/>
      <c r="V135" s="74"/>
      <c r="W135" s="74"/>
      <c r="X135" s="74"/>
      <c r="Y135" s="74"/>
      <c r="Z135" s="74"/>
      <c r="AA135" s="74"/>
      <c r="AB135" s="74"/>
      <c r="AC135" s="74"/>
      <c r="AD135" s="74"/>
      <c r="AE135" s="74"/>
      <c r="AF135" s="74"/>
      <c r="AG135" s="74"/>
      <c r="AH135" s="74"/>
    </row>
    <row r="136" spans="1:67" x14ac:dyDescent="0.3">
      <c r="A136" s="480" t="s">
        <v>612</v>
      </c>
      <c r="B136" s="483">
        <f>'Ввод исходных данных'!G56</f>
        <v>122</v>
      </c>
      <c r="C136" s="912">
        <f>IF('Ввод исходных данных'!D72=0,0.4*(1-'Ввод исходных данных'!$D$34/'Ввод исходных данных'!G55)+0.55*('Ввод исходных данных'!$D$34/'Ввод исходных данных'!G55),'Ввод исходных данных'!D72)</f>
        <v>0.52037037037037037</v>
      </c>
      <c r="D136" s="481">
        <v>1</v>
      </c>
      <c r="E136" s="483">
        <f t="shared" si="199"/>
        <v>234.44839857651246</v>
      </c>
      <c r="F136" s="484">
        <f t="shared" si="200"/>
        <v>9143.4875444839854</v>
      </c>
      <c r="G136" s="483">
        <f t="shared" ref="G136:R136" si="202">$E$136*0.024*G$147</f>
        <v>3872.3373096085406</v>
      </c>
      <c r="H136" s="483">
        <f t="shared" si="202"/>
        <v>3418.8203274021353</v>
      </c>
      <c r="I136" s="483">
        <f t="shared" si="202"/>
        <v>3192.0618362989326</v>
      </c>
      <c r="J136" s="483">
        <f t="shared" si="202"/>
        <v>1384.4646832740214</v>
      </c>
      <c r="K136" s="483">
        <f t="shared" si="202"/>
        <v>0</v>
      </c>
      <c r="L136" s="483">
        <f t="shared" si="202"/>
        <v>0</v>
      </c>
      <c r="M136" s="483">
        <f t="shared" si="202"/>
        <v>0</v>
      </c>
      <c r="N136" s="483">
        <f t="shared" si="202"/>
        <v>0</v>
      </c>
      <c r="O136" s="483">
        <f t="shared" si="202"/>
        <v>0</v>
      </c>
      <c r="P136" s="483">
        <f t="shared" si="202"/>
        <v>1217.9125409252667</v>
      </c>
      <c r="Q136" s="483">
        <f t="shared" si="202"/>
        <v>2802.1272597864772</v>
      </c>
      <c r="R136" s="483">
        <f t="shared" si="202"/>
        <v>3558.3640142348754</v>
      </c>
      <c r="S136" s="74"/>
      <c r="T136" s="74"/>
      <c r="U136" s="74"/>
      <c r="V136" s="74"/>
      <c r="W136" s="74"/>
      <c r="X136" s="74"/>
      <c r="Y136" s="74"/>
      <c r="Z136" s="74"/>
      <c r="AA136" s="74"/>
      <c r="AB136" s="74"/>
      <c r="AC136" s="74"/>
      <c r="AD136" s="74"/>
      <c r="AE136" s="74"/>
      <c r="AF136" s="74"/>
      <c r="AG136" s="74"/>
      <c r="AH136" s="74"/>
    </row>
    <row r="137" spans="1:67" x14ac:dyDescent="0.3">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3">
      <c r="A138" s="480" t="s">
        <v>1329</v>
      </c>
      <c r="B138" s="483">
        <f>'Ввод исходных данных'!G60</f>
        <v>1069.4000000000001</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810.15151515151513</v>
      </c>
      <c r="F138" s="484">
        <f t="shared" si="200"/>
        <v>31595.909090909088</v>
      </c>
      <c r="G138" s="483">
        <f t="shared" ref="G138:R138" si="205">$E$138*0.024*G$147</f>
        <v>13381.110545454545</v>
      </c>
      <c r="H138" s="483">
        <f t="shared" si="205"/>
        <v>11813.953454545455</v>
      </c>
      <c r="I138" s="483">
        <f t="shared" si="205"/>
        <v>11030.374909090911</v>
      </c>
      <c r="J138" s="483">
        <f t="shared" si="205"/>
        <v>4784.1067272727278</v>
      </c>
      <c r="K138" s="483">
        <f t="shared" si="205"/>
        <v>0</v>
      </c>
      <c r="L138" s="483">
        <f t="shared" si="205"/>
        <v>0</v>
      </c>
      <c r="M138" s="483">
        <f t="shared" si="205"/>
        <v>0</v>
      </c>
      <c r="N138" s="483">
        <f t="shared" si="205"/>
        <v>0</v>
      </c>
      <c r="O138" s="483">
        <f t="shared" si="205"/>
        <v>0</v>
      </c>
      <c r="P138" s="483">
        <f t="shared" si="205"/>
        <v>4208.5750909090912</v>
      </c>
      <c r="Q138" s="483">
        <f t="shared" si="205"/>
        <v>9682.9309090909101</v>
      </c>
      <c r="R138" s="483">
        <f t="shared" si="205"/>
        <v>12296.155636363637</v>
      </c>
      <c r="S138" s="74"/>
      <c r="T138" s="74"/>
      <c r="U138" s="74"/>
      <c r="V138" s="74"/>
      <c r="W138" s="74"/>
      <c r="X138" s="74"/>
      <c r="Y138" s="74"/>
      <c r="Z138" s="74"/>
      <c r="AA138" s="74"/>
      <c r="AB138" s="74"/>
      <c r="AC138" s="74"/>
      <c r="AD138" s="74"/>
      <c r="AE138" s="74"/>
      <c r="AF138" s="74"/>
      <c r="AG138" s="74"/>
      <c r="AH138" s="74"/>
    </row>
    <row r="139" spans="1:67" x14ac:dyDescent="0.3">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0.74712643678160928</v>
      </c>
      <c r="D139" s="914">
        <f>(20-'Расчет базового уровня'!$D$159)/(20-'Расчет базового уровня'!$D$145)</f>
        <v>0.10256410256410256</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3">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0.74712643678160928</v>
      </c>
      <c r="D140" s="481">
        <v>0.9</v>
      </c>
      <c r="E140" s="483">
        <f>IF(C140=0,0,B140/C140*D140)</f>
        <v>0</v>
      </c>
      <c r="F140" s="484">
        <f t="shared" si="200"/>
        <v>0</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3">
      <c r="A141" s="480" t="s">
        <v>1332</v>
      </c>
      <c r="B141" s="483">
        <f>'Ввод исходных данных'!G64</f>
        <v>1069.4000000000001</v>
      </c>
      <c r="C141" s="482">
        <f>IF('Ввод исходных данных'!D75=0,'Серии теплотехника'!B51+IF(списки!D37=1,1,0),'Ввод исходных данных'!D75)</f>
        <v>0.74712643678160928</v>
      </c>
      <c r="D141" s="481">
        <v>1</v>
      </c>
      <c r="E141" s="483">
        <f>IF(C141=0,0,B141/C141*D141)</f>
        <v>1431.3507692307692</v>
      </c>
      <c r="F141" s="484">
        <f t="shared" si="200"/>
        <v>55822.68</v>
      </c>
      <c r="G141" s="483">
        <f t="shared" ref="G141:R141" si="207">$E$141*0.024*G$147</f>
        <v>23641.334385230766</v>
      </c>
      <c r="H141" s="483">
        <f t="shared" si="207"/>
        <v>20872.529457230772</v>
      </c>
      <c r="I141" s="483">
        <f t="shared" si="207"/>
        <v>19488.126993230773</v>
      </c>
      <c r="J141" s="483">
        <f t="shared" si="207"/>
        <v>8452.412562461539</v>
      </c>
      <c r="K141" s="483">
        <f t="shared" si="207"/>
        <v>0</v>
      </c>
      <c r="L141" s="483">
        <f t="shared" si="207"/>
        <v>0</v>
      </c>
      <c r="M141" s="483">
        <f t="shared" si="207"/>
        <v>0</v>
      </c>
      <c r="N141" s="483">
        <f t="shared" si="207"/>
        <v>0</v>
      </c>
      <c r="O141" s="483">
        <f t="shared" si="207"/>
        <v>0</v>
      </c>
      <c r="P141" s="483">
        <f t="shared" si="207"/>
        <v>7435.5809760000002</v>
      </c>
      <c r="Q141" s="483">
        <f t="shared" si="207"/>
        <v>17107.504393846157</v>
      </c>
      <c r="R141" s="483">
        <f t="shared" si="207"/>
        <v>21724.469435076924</v>
      </c>
      <c r="S141" s="74"/>
      <c r="T141" s="74"/>
      <c r="U141" s="74"/>
      <c r="V141" s="74"/>
      <c r="W141" s="74"/>
      <c r="X141" s="74"/>
      <c r="Y141" s="74"/>
      <c r="Z141" s="74"/>
      <c r="AA141" s="74"/>
      <c r="AB141" s="74"/>
      <c r="AC141" s="74"/>
      <c r="AD141" s="74"/>
      <c r="AE141" s="74"/>
      <c r="AF141" s="74"/>
      <c r="AG141" s="74"/>
      <c r="AH141" s="74"/>
    </row>
    <row r="142" spans="1:67" x14ac:dyDescent="0.3">
      <c r="A142" s="480" t="s">
        <v>1328</v>
      </c>
      <c r="B142" s="483">
        <f>'Ввод исходных данных'!G63</f>
        <v>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0.44827586206896558</v>
      </c>
      <c r="D142" s="486">
        <f>('Ввод исходных данных'!D83-'Расчет базового уровня'!$D$160)/('Ввод исходных данных'!D83-'Расчет базового уровня'!$D$145)</f>
        <v>0.46153846153846156</v>
      </c>
      <c r="E142" s="483">
        <f>IF(C142=0,0,B142/C142*D142)</f>
        <v>0</v>
      </c>
      <c r="F142" s="484">
        <f t="shared" si="200"/>
        <v>0</v>
      </c>
      <c r="G142" s="483">
        <f>$E$142*0.024*G$147</f>
        <v>0</v>
      </c>
      <c r="H142" s="483">
        <f>$E$142*0.024*H$147</f>
        <v>0</v>
      </c>
      <c r="I142" s="483">
        <f t="shared" ref="I142:R142" si="208">$E$142*0.024*I$147</f>
        <v>0</v>
      </c>
      <c r="J142" s="483">
        <f t="shared" si="208"/>
        <v>0</v>
      </c>
      <c r="K142" s="483">
        <f t="shared" si="208"/>
        <v>0</v>
      </c>
      <c r="L142" s="483">
        <f t="shared" si="208"/>
        <v>0</v>
      </c>
      <c r="M142" s="483">
        <f t="shared" si="208"/>
        <v>0</v>
      </c>
      <c r="N142" s="483">
        <f t="shared" si="208"/>
        <v>0</v>
      </c>
      <c r="O142" s="483">
        <f t="shared" si="208"/>
        <v>0</v>
      </c>
      <c r="P142" s="483">
        <f t="shared" si="208"/>
        <v>0</v>
      </c>
      <c r="Q142" s="483">
        <f t="shared" si="208"/>
        <v>0</v>
      </c>
      <c r="R142" s="483">
        <f t="shared" si="208"/>
        <v>0</v>
      </c>
      <c r="S142" s="74"/>
      <c r="T142" s="74"/>
      <c r="U142" s="74"/>
      <c r="V142" s="74"/>
      <c r="W142" s="74"/>
      <c r="X142" s="74"/>
      <c r="Y142" s="74"/>
      <c r="Z142" s="74"/>
      <c r="AA142" s="74"/>
      <c r="AB142" s="74"/>
      <c r="AC142" s="74"/>
      <c r="AD142" s="74"/>
      <c r="AE142" s="74"/>
      <c r="AF142" s="74"/>
      <c r="AG142" s="74"/>
      <c r="AH142" s="74"/>
    </row>
    <row r="143" spans="1:67" x14ac:dyDescent="0.3">
      <c r="A143" s="480" t="s">
        <v>1231</v>
      </c>
      <c r="B143" s="483">
        <f>'Ввод исходных данных'!G66</f>
        <v>6</v>
      </c>
      <c r="C143" s="916">
        <f>IF('Ввод исходных данных'!D76=0,IF(списки!D35=0,0.5,0.95),'Ввод исходных данных'!D76)</f>
        <v>0.5</v>
      </c>
      <c r="D143" s="486">
        <v>1</v>
      </c>
      <c r="E143" s="483">
        <f>IF(C143=0,0,B143/C143*D143)</f>
        <v>12</v>
      </c>
      <c r="F143" s="484">
        <f t="shared" si="200"/>
        <v>468</v>
      </c>
      <c r="G143" s="483">
        <f>$E$143*0.024*G$147</f>
        <v>198.20160000000001</v>
      </c>
      <c r="H143" s="483">
        <f t="shared" ref="H143:R143" si="209">$E$143*0.024*H$147</f>
        <v>174.98880000000003</v>
      </c>
      <c r="I143" s="483">
        <f t="shared" si="209"/>
        <v>163.38240000000005</v>
      </c>
      <c r="J143" s="483">
        <f t="shared" si="209"/>
        <v>70.862400000000008</v>
      </c>
      <c r="K143" s="483">
        <f t="shared" si="209"/>
        <v>0</v>
      </c>
      <c r="L143" s="483">
        <f t="shared" si="209"/>
        <v>0</v>
      </c>
      <c r="M143" s="483">
        <f t="shared" si="209"/>
        <v>0</v>
      </c>
      <c r="N143" s="483">
        <f t="shared" si="209"/>
        <v>0</v>
      </c>
      <c r="O143" s="483">
        <f t="shared" si="209"/>
        <v>0</v>
      </c>
      <c r="P143" s="483">
        <f t="shared" si="209"/>
        <v>62.337600000000002</v>
      </c>
      <c r="Q143" s="483">
        <f t="shared" si="209"/>
        <v>143.42400000000004</v>
      </c>
      <c r="R143" s="483">
        <f t="shared" si="209"/>
        <v>182.13120000000001</v>
      </c>
      <c r="S143" s="74"/>
      <c r="T143" s="74"/>
      <c r="U143" s="74"/>
      <c r="V143" s="74"/>
      <c r="W143" s="74"/>
      <c r="X143" s="74"/>
      <c r="Y143" s="74"/>
      <c r="Z143" s="74"/>
      <c r="AA143" s="74"/>
      <c r="AB143" s="74"/>
      <c r="AC143" s="74"/>
      <c r="AD143" s="74"/>
      <c r="AE143" s="74"/>
      <c r="AF143" s="74"/>
      <c r="AG143" s="74"/>
      <c r="AH143" s="74"/>
    </row>
    <row r="144" spans="1:67" x14ac:dyDescent="0.3">
      <c r="A144" s="480" t="s">
        <v>515</v>
      </c>
      <c r="B144" s="483">
        <f>SUM(B134:B141)</f>
        <v>7469.6</v>
      </c>
      <c r="C144" s="916"/>
      <c r="D144" s="481"/>
      <c r="E144" s="483">
        <f>SUM(E134:E143)</f>
        <v>9257.9748255093109</v>
      </c>
      <c r="F144" s="484">
        <f>E144*(20-$D$145)/1000</f>
        <v>361.0610181948631</v>
      </c>
      <c r="G144" s="483">
        <f>SUM(G134:G143)</f>
        <v>152912.11859797218</v>
      </c>
      <c r="H144" s="483">
        <f t="shared" ref="H144:R144" si="210">SUM(H134:H143)</f>
        <v>135003.49209550698</v>
      </c>
      <c r="I144" s="483">
        <f t="shared" si="210"/>
        <v>126049.17884427439</v>
      </c>
      <c r="J144" s="483">
        <f t="shared" si="210"/>
        <v>54670.192939597582</v>
      </c>
      <c r="K144" s="483">
        <f t="shared" si="210"/>
        <v>0</v>
      </c>
      <c r="L144" s="483">
        <f t="shared" si="210"/>
        <v>0</v>
      </c>
      <c r="M144" s="483">
        <f t="shared" si="210"/>
        <v>0</v>
      </c>
      <c r="N144" s="483">
        <f t="shared" si="210"/>
        <v>0</v>
      </c>
      <c r="O144" s="483">
        <f t="shared" si="210"/>
        <v>0</v>
      </c>
      <c r="P144" s="483">
        <f t="shared" si="210"/>
        <v>48093.327623555764</v>
      </c>
      <c r="Q144" s="483">
        <f t="shared" si="210"/>
        <v>110651.3151144873</v>
      </c>
      <c r="R144" s="483">
        <f t="shared" si="210"/>
        <v>140513.83871165011</v>
      </c>
      <c r="S144" s="74"/>
      <c r="T144" s="74"/>
      <c r="U144" s="74"/>
      <c r="V144" s="74"/>
      <c r="W144" s="74"/>
      <c r="X144" s="74"/>
      <c r="Y144" s="74"/>
      <c r="Z144" s="74"/>
      <c r="AA144" s="74"/>
      <c r="AB144" s="74"/>
      <c r="AC144" s="74"/>
      <c r="AD144" s="74"/>
      <c r="AE144" s="74"/>
      <c r="AF144" s="74"/>
      <c r="AG144" s="74"/>
      <c r="AH144" s="74"/>
    </row>
    <row r="145" spans="1:34" x14ac:dyDescent="0.3">
      <c r="A145" s="74"/>
      <c r="B145" s="488" t="s">
        <v>742</v>
      </c>
      <c r="C145" s="489" t="s">
        <v>747</v>
      </c>
      <c r="D145" s="481">
        <f>VLOOKUP(CONCATENATE('Ввод исходных данных'!$D$10,'Ввод исходных данных'!$D$11),Климатология!$D$9:$BF$548,4,0)</f>
        <v>-19</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3">
      <c r="A146" s="74"/>
      <c r="B146" s="488" t="s">
        <v>529</v>
      </c>
      <c r="C146" s="489" t="s">
        <v>748</v>
      </c>
      <c r="D146" s="481">
        <f>VLOOKUP(CONCATENATE('Ввод исходных данных'!$D$10,'Ввод исходных данных'!$D$11),Климатология!$D$9:$BF$548,2,0)</f>
        <v>188</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18.5</v>
      </c>
      <c r="K146" s="490">
        <f>VLOOKUP(CONCATENATE('Ввод исходных данных'!$D$10,'Ввод исходных данных'!$D$11),Климатология!$D$9:$BF$548,K130+2,0)</f>
        <v>0</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0</v>
      </c>
      <c r="P146" s="490">
        <f>VLOOKUP(CONCATENATE('Ввод исходных данных'!$D$10,'Ввод исходных данных'!$D$11),Климатология!$D$9:$BF$548,P130+2,0)</f>
        <v>18.5</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3">
      <c r="A147" s="74"/>
      <c r="B147" s="488" t="s">
        <v>462</v>
      </c>
      <c r="C147" s="489" t="s">
        <v>749</v>
      </c>
      <c r="D147" s="481">
        <f>VLOOKUP(CONCATENATE('Ввод исходных данных'!$D$10,'Ввод исходных данных'!$D$11),Климатология!$D$9:$BF$548,6,0)</f>
        <v>3534.4</v>
      </c>
      <c r="E147" s="74"/>
      <c r="F147" s="317"/>
      <c r="G147" s="490">
        <f>VLOOKUP(CONCATENATE('Ввод исходных данных'!$D$10,'Ввод исходных данных'!$D$11),Климатология!$D$9:$BF$548,G130+3,0)</f>
        <v>688.19999999999993</v>
      </c>
      <c r="H147" s="490">
        <f>VLOOKUP(CONCATENATE('Ввод исходных данных'!$D$10,'Ввод исходных данных'!$D$11),Климатология!$D$9:$BF$548,H130+3,0)</f>
        <v>607.6</v>
      </c>
      <c r="I147" s="490">
        <f>VLOOKUP(CONCATENATE('Ввод исходных данных'!$D$10,'Ввод исходных данных'!$D$11),Климатология!$D$9:$BF$548,I130+3,0)</f>
        <v>567.30000000000007</v>
      </c>
      <c r="J147" s="490">
        <f>VLOOKUP(CONCATENATE('Ввод исходных данных'!$D$10,'Ввод исходных данных'!$D$11),Климатология!$D$9:$BF$548,J130+3,0)</f>
        <v>246.05</v>
      </c>
      <c r="K147" s="490">
        <f>VLOOKUP(CONCATENATE('Ввод исходных данных'!$D$10,'Ввод исходных данных'!$D$11),Климатология!$D$9:$BF$548,K130+3,0)</f>
        <v>0</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0</v>
      </c>
      <c r="P147" s="490">
        <f>VLOOKUP(CONCATENATE('Ввод исходных данных'!$D$10,'Ввод исходных данных'!$D$11),Климатология!$D$9:$BF$548,P130+3,0)</f>
        <v>216.45</v>
      </c>
      <c r="Q147" s="490">
        <f>VLOOKUP(CONCATENATE('Ввод исходных данных'!$D$10,'Ввод исходных данных'!$D$11),Климатология!$D$9:$BF$548,Q130+3,0)</f>
        <v>498.00000000000006</v>
      </c>
      <c r="R147" s="490">
        <f>VLOOKUP(CONCATENATE('Ввод исходных данных'!$D$10,'Ввод исходных данных'!$D$11),Климатология!$D$9:$BF$548,R130+3,0)</f>
        <v>632.4</v>
      </c>
      <c r="S147" s="74"/>
      <c r="T147" s="74"/>
      <c r="U147" s="74"/>
      <c r="V147" s="74"/>
      <c r="W147" s="74"/>
      <c r="X147" s="74"/>
      <c r="Y147" s="74"/>
      <c r="Z147" s="74"/>
      <c r="AA147" s="74"/>
      <c r="AB147" s="74"/>
      <c r="AC147" s="74"/>
      <c r="AD147" s="74"/>
      <c r="AE147" s="74"/>
      <c r="AF147" s="74"/>
      <c r="AG147" s="74"/>
      <c r="AH147" s="74"/>
    </row>
    <row r="148" spans="1:34" x14ac:dyDescent="0.3">
      <c r="A148" s="491" t="s">
        <v>497</v>
      </c>
      <c r="B148" s="492" t="s">
        <v>531</v>
      </c>
      <c r="C148" s="493" t="s">
        <v>498</v>
      </c>
      <c r="D148" s="494">
        <f>IF(D149&gt;45,10,IF(D149&lt;=20,17,17-(D149-20)*7/25))</f>
        <v>15.71643165467626</v>
      </c>
      <c r="E148" s="74"/>
      <c r="F148" s="495">
        <f>17*D150/1000</f>
        <v>70.082499999999996</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3">
      <c r="A149" s="491" t="s">
        <v>499</v>
      </c>
      <c r="B149" s="492" t="s">
        <v>500</v>
      </c>
      <c r="C149" s="493" t="s">
        <v>501</v>
      </c>
      <c r="D149" s="496">
        <f>'Ввод исходных данных'!$G$45/'Ввод исходных данных'!$D$22</f>
        <v>24.584172661870504</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3">
      <c r="A150" s="476" t="s">
        <v>1403</v>
      </c>
      <c r="B150" s="492" t="s">
        <v>1404</v>
      </c>
      <c r="C150" s="497" t="s">
        <v>492</v>
      </c>
      <c r="D150" s="496">
        <f>'Ввод исходных данных'!G46</f>
        <v>4122.5</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3">
      <c r="A151" s="498" t="s">
        <v>512</v>
      </c>
      <c r="B151" s="499" t="s">
        <v>522</v>
      </c>
      <c r="C151" s="497" t="s">
        <v>526</v>
      </c>
      <c r="D151" s="500">
        <v>30</v>
      </c>
      <c r="E151" s="74"/>
      <c r="F151" s="495">
        <f>(D151*D152*'Ввод исходных данных'!$D$22*0.28+D189*0.28)*1.006*0.001*(20+25)+E161*(20+25)</f>
        <v>130.41488426043992</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3">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3">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3">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3">
      <c r="A158" s="491" t="s">
        <v>527</v>
      </c>
      <c r="B158" s="492" t="s">
        <v>532</v>
      </c>
      <c r="C158" s="489" t="s">
        <v>746</v>
      </c>
      <c r="D158" s="919">
        <f>SUMPRODUCT('Система отопления'!B23:B28,'Система отопления'!C23:C28)</f>
        <v>1.07</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3">
      <c r="A159" s="469" t="s">
        <v>743</v>
      </c>
      <c r="B159" s="504" t="s">
        <v>1307</v>
      </c>
      <c r="C159" s="489"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3">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3">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3">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3">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3">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3">
      <c r="A167" s="506" t="s">
        <v>905</v>
      </c>
      <c r="B167" s="507" t="s">
        <v>1474</v>
      </c>
      <c r="C167" s="489" t="s">
        <v>906</v>
      </c>
      <c r="D167" s="508">
        <f>D168*365/(D146+D169*(D170-D146))</f>
        <v>98.147594861069607</v>
      </c>
      <c r="E167" s="74"/>
      <c r="F167" s="317">
        <f>SUMPRODUCT(G167:R167,G170:R170)/365</f>
        <v>89.005079175380928</v>
      </c>
      <c r="G167" s="508">
        <f>IF(G146&gt;=0.8*G165,$D$167,$D$169*$D$167)</f>
        <v>98.147594861069607</v>
      </c>
      <c r="H167" s="508">
        <f t="shared" ref="H167:R167" si="211">IF(H146&gt;=0.8*H165,$D$167,$D$169*$D$167)</f>
        <v>98.147594861069607</v>
      </c>
      <c r="I167" s="508">
        <f t="shared" si="211"/>
        <v>98.147594861069607</v>
      </c>
      <c r="J167" s="508">
        <f t="shared" si="211"/>
        <v>88.332835374962642</v>
      </c>
      <c r="K167" s="508">
        <f t="shared" si="211"/>
        <v>88.332835374962642</v>
      </c>
      <c r="L167" s="508">
        <f t="shared" si="211"/>
        <v>88.332835374962642</v>
      </c>
      <c r="M167" s="508">
        <f t="shared" si="211"/>
        <v>88.332835374962642</v>
      </c>
      <c r="N167" s="508">
        <f t="shared" si="211"/>
        <v>88.332835374962642</v>
      </c>
      <c r="O167" s="508">
        <f t="shared" si="211"/>
        <v>88.332835374962642</v>
      </c>
      <c r="P167" s="508">
        <f t="shared" si="211"/>
        <v>88.332835374962642</v>
      </c>
      <c r="Q167" s="508">
        <f t="shared" si="211"/>
        <v>98.147594861069607</v>
      </c>
      <c r="R167" s="508">
        <f t="shared" si="211"/>
        <v>98.147594861069607</v>
      </c>
      <c r="S167" s="74"/>
      <c r="T167" s="74"/>
      <c r="U167" s="74"/>
      <c r="V167" s="74"/>
      <c r="W167" s="74"/>
      <c r="X167" s="74"/>
      <c r="Y167" s="74"/>
      <c r="Z167" s="74"/>
      <c r="AA167" s="74"/>
      <c r="AB167" s="74"/>
      <c r="AC167" s="74"/>
      <c r="AD167" s="74"/>
      <c r="AE167" s="74"/>
    </row>
    <row r="168" spans="1:31" ht="15.75" customHeight="1" x14ac:dyDescent="0.3">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3">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3">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3">
      <c r="A171" s="506" t="s">
        <v>908</v>
      </c>
      <c r="B171" s="507" t="s">
        <v>547</v>
      </c>
      <c r="C171" s="489" t="s">
        <v>559</v>
      </c>
      <c r="D171" s="512">
        <f>D167*'Ввод исходных данных'!$D$22/24/1000</f>
        <v>1.1368763071407229</v>
      </c>
      <c r="E171" s="74"/>
      <c r="F171" s="74"/>
      <c r="G171" s="512">
        <f>G167*'Ввод исходных данных'!$D$22/24/1000</f>
        <v>1.1368763071407229</v>
      </c>
      <c r="H171" s="512">
        <f>H167*'Ввод исходных данных'!$D$22/24/1000</f>
        <v>1.1368763071407229</v>
      </c>
      <c r="I171" s="512">
        <f>I167*'Ввод исходных данных'!$D$22/24/1000</f>
        <v>1.1368763071407229</v>
      </c>
      <c r="J171" s="512">
        <f>J167*'Ввод исходных данных'!$D$22/24/1000</f>
        <v>1.0231886764266505</v>
      </c>
      <c r="K171" s="512">
        <f>K167*'Ввод исходных данных'!$D$22/24/1000</f>
        <v>1.0231886764266505</v>
      </c>
      <c r="L171" s="512">
        <f>L167*'Ввод исходных данных'!$D$22/24/1000</f>
        <v>1.0231886764266505</v>
      </c>
      <c r="M171" s="512">
        <f>M167*'Ввод исходных данных'!$D$22/24/1000</f>
        <v>1.0231886764266505</v>
      </c>
      <c r="N171" s="512">
        <f>N167*'Ввод исходных данных'!$D$22/24/1000</f>
        <v>1.0231886764266505</v>
      </c>
      <c r="O171" s="512">
        <f>O167*'Ввод исходных данных'!$D$22/24/1000</f>
        <v>1.0231886764266505</v>
      </c>
      <c r="P171" s="512">
        <f>P167*'Ввод исходных данных'!$D$22/24/1000</f>
        <v>1.0231886764266505</v>
      </c>
      <c r="Q171" s="512">
        <f>Q167*'Ввод исходных данных'!$D$22/24/1000</f>
        <v>1.1368763071407229</v>
      </c>
      <c r="R171" s="512">
        <f>R167*'Ввод исходных данных'!$D$22/24/1000</f>
        <v>1.1368763071407229</v>
      </c>
      <c r="S171" s="74"/>
      <c r="T171" s="74"/>
      <c r="U171" s="74"/>
      <c r="V171" s="74"/>
      <c r="W171" s="74"/>
      <c r="X171" s="74"/>
      <c r="Y171" s="74"/>
      <c r="Z171" s="74"/>
      <c r="AA171" s="74"/>
      <c r="AB171" s="74"/>
      <c r="AC171" s="74"/>
      <c r="AD171" s="74"/>
      <c r="AE171" s="74"/>
    </row>
    <row r="172" spans="1:31" ht="15.75" customHeight="1" x14ac:dyDescent="0.3">
      <c r="A172" s="506" t="s">
        <v>909</v>
      </c>
      <c r="B172" s="507" t="s">
        <v>548</v>
      </c>
      <c r="C172" s="489" t="s">
        <v>559</v>
      </c>
      <c r="D172" s="512">
        <f>D171*'Система электроснабжения'!$C$55</f>
        <v>4.9098959346057649</v>
      </c>
      <c r="E172" s="74">
        <f>D172*(60-5)*4.2/3.6*1.1</f>
        <v>346.55682138425692</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3">
      <c r="A173" s="506" t="s">
        <v>910</v>
      </c>
      <c r="B173" s="507" t="s">
        <v>551</v>
      </c>
      <c r="C173" s="489" t="s">
        <v>513</v>
      </c>
      <c r="D173" s="513">
        <f xml:space="preserve"> (D167*(D174-D175)*(1+D176)*1*D177)/(3.6*24*D178)</f>
        <v>15.744510008963251</v>
      </c>
      <c r="E173" s="74">
        <f>E172*0.86/1000</f>
        <v>0.29803886639046095</v>
      </c>
      <c r="F173" s="74"/>
      <c r="G173" s="513">
        <f xml:space="preserve"> (G167*($D$174-IF(G146&gt;=0.8*G165,$D$175,'Ввод исходных данных'!$D$109))*(1+$D$176)*1*$D$177)/(3.6*24*$D$178)</f>
        <v>15.744510008963251</v>
      </c>
      <c r="H173" s="513">
        <f xml:space="preserve"> (H167*($D$174-IF(H146&gt;=0.8*H165,$D$175,'Ввод исходных данных'!$D$109))*(1+$D$176)*1*$D$177)/(3.6*24*$D$178)</f>
        <v>15.744510008963251</v>
      </c>
      <c r="I173" s="513">
        <f xml:space="preserve"> (I167*($D$174-IF(I146&gt;=0.8*I165,$D$175,'Ввод исходных данных'!$D$109))*(1+$D$176)*1*$D$177)/(3.6*24*$D$178)</f>
        <v>15.744510008963251</v>
      </c>
      <c r="J173" s="513">
        <f xml:space="preserve"> (J167*($D$174-IF(J146&gt;=0.8*J165,$D$175,'Ввод исходных данных'!$D$109))*(1+$D$176)*1*$D$177)/(3.6*24*$D$178)</f>
        <v>11.593684642963849</v>
      </c>
      <c r="K173" s="513">
        <f xml:space="preserve"> (K167*($D$174-IF(K146&gt;=0.8*K165,$D$175,'Ввод исходных данных'!$D$109))*(1+$D$176)*1*$D$177)/(3.6*24*$D$178)</f>
        <v>11.593684642963849</v>
      </c>
      <c r="L173" s="513">
        <f xml:space="preserve"> (L167*($D$174-IF(L146&gt;=0.8*L165,$D$175,'Ввод исходных данных'!$D$109))*(1+$D$176)*1*$D$177)/(3.6*24*$D$178)</f>
        <v>11.593684642963849</v>
      </c>
      <c r="M173" s="513">
        <f xml:space="preserve"> (M167*($D$174-IF(M146&gt;=0.8*M165,$D$175,'Ввод исходных данных'!$D$109))*(1+$D$176)*1*$D$177)/(3.6*24*$D$178)</f>
        <v>11.593684642963849</v>
      </c>
      <c r="N173" s="513">
        <f xml:space="preserve"> (N167*($D$174-IF(N146&gt;=0.8*N165,$D$175,'Ввод исходных данных'!$D$109))*(1+$D$176)*1*$D$177)/(3.6*24*$D$178)</f>
        <v>11.593684642963849</v>
      </c>
      <c r="O173" s="513">
        <f xml:space="preserve"> (O167*($D$174-IF(O146&gt;=0.8*O165,$D$175,'Ввод исходных данных'!$D$109))*(1+$D$176)*1*$D$177)/(3.6*24*$D$178)</f>
        <v>11.593684642963849</v>
      </c>
      <c r="P173" s="513">
        <f xml:space="preserve"> (P167*($D$174-IF(P146&gt;=0.8*P165,$D$175,'Ввод исходных данных'!$D$109))*(1+$D$176)*1*$D$177)/(3.6*24*$D$178)</f>
        <v>11.593684642963849</v>
      </c>
      <c r="Q173" s="513">
        <f xml:space="preserve"> (Q167*($D$174-IF(Q146&gt;=0.8*Q165,$D$175,'Ввод исходных данных'!$D$109))*(1+$D$176)*1*$D$177)/(3.6*24*$D$178)</f>
        <v>15.744510008963251</v>
      </c>
      <c r="R173" s="513">
        <f xml:space="preserve"> (R167*($D$174-IF(R146&gt;=0.8*R165,$D$175,'Ввод исходных данных'!$D$109))*(1+$D$176)*1*$D$177)/(3.6*24*$D$178)</f>
        <v>15.744510008963251</v>
      </c>
      <c r="S173" s="74"/>
      <c r="T173" s="74"/>
      <c r="U173" s="74"/>
      <c r="V173" s="74"/>
      <c r="W173" s="74"/>
      <c r="X173" s="74"/>
      <c r="Y173" s="74"/>
      <c r="Z173" s="74"/>
      <c r="AA173" s="74"/>
      <c r="AB173" s="74"/>
      <c r="AC173" s="74"/>
      <c r="AD173" s="74"/>
      <c r="AE173" s="74"/>
    </row>
    <row r="174" spans="1:31" ht="15.75" customHeight="1" x14ac:dyDescent="0.3">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3">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3">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3">
      <c r="A179" s="510" t="s">
        <v>914</v>
      </c>
      <c r="B179" s="515" t="s">
        <v>750</v>
      </c>
      <c r="C179" s="489" t="s">
        <v>562</v>
      </c>
      <c r="D179" s="508">
        <f>'Ввод исходных данных'!G45/'Ввод исходных данных'!D22</f>
        <v>24.584172661870504</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3">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3">
      <c r="A181" s="510" t="s">
        <v>1572</v>
      </c>
      <c r="B181" s="515" t="s">
        <v>1573</v>
      </c>
      <c r="C181" s="489" t="s">
        <v>1579</v>
      </c>
      <c r="D181" s="508">
        <f>0.28*'Ввод исходных данных'!$G$49*(D183-D184)+0.03*D183*Климатология!$H$2^2</f>
        <v>11.263519505704473</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3">
      <c r="A182" s="510" t="s">
        <v>1575</v>
      </c>
      <c r="B182" s="515" t="s">
        <v>1574</v>
      </c>
      <c r="C182" s="489" t="s">
        <v>1579</v>
      </c>
      <c r="D182" s="508">
        <f>0.55*('Ввод исходных данных'!$G$49-1)*(D183-D184)+0.03*D183*Климатология!$H$2^2</f>
        <v>16.94410745252091</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3">
      <c r="A183" s="510" t="s">
        <v>1576</v>
      </c>
      <c r="B183" s="515"/>
      <c r="C183" s="489" t="s">
        <v>1580</v>
      </c>
      <c r="D183" s="508">
        <f>3463/(273+Климатология!$F$2)</f>
        <v>12.629467541940191</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3">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3">
      <c r="A185" s="510" t="s">
        <v>1571</v>
      </c>
      <c r="B185" s="515"/>
      <c r="C185" s="489" t="s">
        <v>1581</v>
      </c>
      <c r="D185" s="517">
        <f>0.12*(1-'Ввод исходных данных'!$D$34/'Ввод исходных данных'!$G$55)+0.86*'Ввод исходных данных'!$D$34/'Ввод исходных данных'!$G$55</f>
        <v>0.71382716049382711</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3">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3">
      <c r="A187" s="510" t="s">
        <v>1569</v>
      </c>
      <c r="B187" s="515"/>
      <c r="C187" s="489" t="s">
        <v>1582</v>
      </c>
      <c r="D187" s="508">
        <f>(B136/D185)*(D181/10)^(2/3)</f>
        <v>185.01893320293465</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3">
      <c r="A188" s="510" t="s">
        <v>1568</v>
      </c>
      <c r="B188" s="515"/>
      <c r="C188" s="489" t="s">
        <v>1582</v>
      </c>
      <c r="D188" s="508">
        <f>(B143/D186)*(D182/10)^(1/2)</f>
        <v>55.786942930074886</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3">
      <c r="A189" s="510" t="s">
        <v>1567</v>
      </c>
      <c r="B189" s="515"/>
      <c r="C189" s="489" t="s">
        <v>1582</v>
      </c>
      <c r="D189" s="508">
        <f>D187+D188</f>
        <v>240.80587613300952</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3">
      <c r="A190" s="510" t="s">
        <v>1566</v>
      </c>
      <c r="B190" s="515"/>
      <c r="C190" s="489" t="s">
        <v>496</v>
      </c>
      <c r="D190" s="508">
        <f>0.024*$D$187*'Расчет базового уровня'!$D$147*0.28</f>
        <v>4394.4157656836796</v>
      </c>
      <c r="E190" s="74"/>
      <c r="F190" s="74"/>
      <c r="G190" s="508">
        <f>0.024*$D$187*'Расчет базового уровня'!G$147*0.28</f>
        <v>855.65780045934457</v>
      </c>
      <c r="H190" s="508">
        <f>0.024*$D$187*'Расчет базового уровня'!H$147*0.28</f>
        <v>755.44562563077295</v>
      </c>
      <c r="I190" s="508">
        <f>0.024*$D$187*'Расчет базового уровня'!I$147*0.28</f>
        <v>705.33953821648697</v>
      </c>
      <c r="J190" s="508">
        <f>0.024*$D$187*'Расчет базового уровня'!J$147*0.28</f>
        <v>305.9206652179916</v>
      </c>
      <c r="K190" s="508">
        <f>0.024*$D$187*'Расчет базового уровня'!K$147*0.28</f>
        <v>0</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0</v>
      </c>
      <c r="P190" s="508">
        <f>0.024*$D$187*'Расчет базового уровня'!P$147*0.28</f>
        <v>269.11817917672937</v>
      </c>
      <c r="Q190" s="508">
        <f>0.024*$D$187*'Расчет базового уровня'!Q$147*0.28</f>
        <v>619.1769610996131</v>
      </c>
      <c r="R190" s="508">
        <f>0.024*$D$187*'Расчет базового уровня'!R$147*0.28</f>
        <v>786.2801409626411</v>
      </c>
      <c r="S190" s="74"/>
      <c r="T190" s="74"/>
      <c r="U190" s="74"/>
      <c r="V190" s="74"/>
      <c r="W190" s="74"/>
      <c r="X190" s="74"/>
      <c r="Y190" s="74"/>
      <c r="Z190" s="74"/>
      <c r="AA190" s="74"/>
      <c r="AB190" s="74"/>
      <c r="AC190" s="74"/>
      <c r="AD190" s="74"/>
      <c r="AE190" s="74"/>
    </row>
    <row r="191" spans="1:32" x14ac:dyDescent="0.3">
      <c r="A191" s="510" t="s">
        <v>1565</v>
      </c>
      <c r="B191" s="515"/>
      <c r="C191" s="489" t="s">
        <v>496</v>
      </c>
      <c r="D191" s="508">
        <f>0.024*$D$188*'Расчет базового уровня'!$D$147*0.28</f>
        <v>1325.005053738621</v>
      </c>
      <c r="E191" s="74"/>
      <c r="F191" s="74"/>
      <c r="G191" s="508">
        <f>0.024*$D$188*'Расчет базового уровня'!G$147*0.28</f>
        <v>257.99809811648907</v>
      </c>
      <c r="H191" s="508">
        <f>0.024*$D$188*'Расчет базового уровня'!H$147*0.28</f>
        <v>227.78210464338673</v>
      </c>
      <c r="I191" s="508">
        <f>0.024*$D$188*'Расчет базового уровня'!I$147*0.28</f>
        <v>212.67410790683562</v>
      </c>
      <c r="J191" s="508">
        <f>0.024*$D$188*'Расчет базового уровня'!J$147*0.28</f>
        <v>92.241255509389916</v>
      </c>
      <c r="K191" s="508">
        <f>0.024*$D$188*'Расчет базового уровня'!K$147*0.28</f>
        <v>0</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0</v>
      </c>
      <c r="P191" s="508">
        <f>0.024*$D$188*'Расчет базового уровня'!P$147*0.28</f>
        <v>81.144563117282843</v>
      </c>
      <c r="Q191" s="508">
        <f>0.024*$D$188*'Расчет базового уровня'!Q$147*0.28</f>
        <v>186.69435173207145</v>
      </c>
      <c r="R191" s="508">
        <f>0.024*$D$188*'Расчет базового уровня'!R$147*0.28</f>
        <v>237.07933340434127</v>
      </c>
      <c r="S191" s="74"/>
      <c r="T191" s="74"/>
      <c r="U191" s="74"/>
      <c r="V191" s="74"/>
      <c r="W191" s="74"/>
      <c r="X191" s="74"/>
      <c r="Y191" s="74"/>
      <c r="Z191" s="74"/>
      <c r="AA191" s="74"/>
      <c r="AB191" s="74"/>
      <c r="AC191" s="74"/>
      <c r="AD191" s="74"/>
      <c r="AE191" s="74"/>
    </row>
    <row r="192" spans="1:32" x14ac:dyDescent="0.3">
      <c r="A192" s="510" t="s">
        <v>1564</v>
      </c>
      <c r="B192" s="515"/>
      <c r="C192" s="489" t="s">
        <v>496</v>
      </c>
      <c r="D192" s="508">
        <f>0.024*$D$189*'Расчет базового уровня'!$D$147*0.28</f>
        <v>5719.4208194223002</v>
      </c>
      <c r="E192" s="74"/>
      <c r="F192" s="74"/>
      <c r="G192" s="508">
        <f>0.024*$D$189*'Расчет базового уровня'!G$147*0.28</f>
        <v>1113.6558985758336</v>
      </c>
      <c r="H192" s="508">
        <f>0.024*$D$189*'Расчет базового уровня'!H$147*0.28</f>
        <v>983.22773027415963</v>
      </c>
      <c r="I192" s="508">
        <f>0.024*$D$189*'Расчет базового уровня'!I$147*0.28</f>
        <v>918.01364612332247</v>
      </c>
      <c r="J192" s="508">
        <f>0.024*$D$189*'Расчет базового уровня'!J$147*0.28</f>
        <v>398.16192072738147</v>
      </c>
      <c r="K192" s="508">
        <f>0.024*$D$189*'Расчет базового уровня'!K$147*0.28</f>
        <v>0</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0</v>
      </c>
      <c r="P192" s="508">
        <f>0.024*$D$189*'Расчет базового уровня'!P$147*0.28</f>
        <v>350.26274229401224</v>
      </c>
      <c r="Q192" s="508">
        <f>0.024*$D$189*'Расчет базового уровня'!Q$147*0.28</f>
        <v>805.87131283168458</v>
      </c>
      <c r="R192" s="508">
        <f>0.024*$D$189*'Расчет базового уровня'!R$147*0.28</f>
        <v>1023.3594743669825</v>
      </c>
      <c r="S192" s="74"/>
      <c r="T192" s="74"/>
      <c r="U192" s="74"/>
      <c r="V192" s="74"/>
      <c r="W192" s="74"/>
      <c r="X192" s="74"/>
      <c r="Y192" s="74"/>
      <c r="Z192" s="74"/>
      <c r="AA192" s="74"/>
      <c r="AB192" s="74"/>
      <c r="AC192" s="74"/>
      <c r="AD192" s="74"/>
      <c r="AE192" s="74"/>
    </row>
    <row r="193" spans="4:31" x14ac:dyDescent="0.3">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3">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3">
      <c r="D195" s="99"/>
    </row>
  </sheetData>
  <sheetProtection algorithmName="SHA-512" hashValue="Qxl6639Trj0xkARY96xM8i6jLmLmAmhxFLL2CbFis7aV7uMJ2Gq3ieh0IQBta3X45nrKllaUKmRLcZxHwq4v0w==" saltValue="EP68Ky6QQU3ayG03YbTI4g=="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09375" defaultRowHeight="14.4" x14ac:dyDescent="0.3"/>
  <cols>
    <col min="1" max="1" width="32.6640625" style="75" customWidth="1"/>
    <col min="2" max="2" width="9.33203125" style="75" customWidth="1"/>
    <col min="3" max="3" width="15.5546875" style="75" customWidth="1"/>
    <col min="4" max="4" width="13.109375" style="75" customWidth="1"/>
    <col min="5" max="5" width="15.109375" style="75" customWidth="1"/>
    <col min="6" max="6" width="12" style="75" customWidth="1"/>
    <col min="7" max="7" width="34.5546875" style="75" customWidth="1"/>
    <col min="8" max="8" width="7.6640625" style="75" customWidth="1"/>
    <col min="9" max="9" width="12.6640625" style="75" customWidth="1"/>
    <col min="10" max="10" width="13.44140625" style="75" customWidth="1"/>
    <col min="11" max="11" width="12.33203125" style="75" customWidth="1"/>
    <col min="12" max="12" width="13.109375" style="75" customWidth="1"/>
    <col min="13" max="13" width="12.6640625" style="75" customWidth="1"/>
    <col min="14" max="14" width="11.33203125" style="75" customWidth="1"/>
    <col min="15" max="15" width="15.6640625" style="75" customWidth="1"/>
    <col min="16" max="16" width="11.6640625" style="75" customWidth="1"/>
    <col min="17" max="17" width="11.44140625" style="75" customWidth="1"/>
    <col min="18" max="19" width="12.44140625" style="75" customWidth="1"/>
    <col min="20" max="20" width="12.5546875" style="75" customWidth="1"/>
    <col min="21" max="21" width="11.5546875" style="75" customWidth="1"/>
    <col min="22" max="22" width="12" style="75" customWidth="1"/>
    <col min="23" max="23" width="12.44140625" style="75" customWidth="1"/>
    <col min="24" max="24" width="14.109375" style="75" customWidth="1"/>
    <col min="25" max="25" width="12" style="75" customWidth="1"/>
    <col min="26" max="26" width="10.44140625" style="75" customWidth="1"/>
    <col min="27" max="27" width="11.6640625" style="75" customWidth="1"/>
    <col min="28" max="28" width="12.5546875" style="75" customWidth="1"/>
    <col min="29" max="29" width="12.6640625" style="75" customWidth="1"/>
    <col min="30" max="30" width="12.44140625" style="75" customWidth="1"/>
    <col min="31" max="31" width="12.5546875" style="75" customWidth="1"/>
    <col min="32" max="32" width="13.33203125" style="75" customWidth="1"/>
    <col min="33" max="16384" width="9.109375" style="75"/>
  </cols>
  <sheetData>
    <row r="1" spans="1:47" x14ac:dyDescent="0.3">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5">
      <c r="A3" s="1788" t="s">
        <v>1172</v>
      </c>
      <c r="B3" s="1788"/>
      <c r="C3" s="1788"/>
      <c r="D3" s="1788"/>
      <c r="E3" s="1788"/>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3">
      <c r="A4" s="1792" t="s">
        <v>834</v>
      </c>
      <c r="B4" s="1778" t="s">
        <v>1174</v>
      </c>
      <c r="C4" s="1774" t="s">
        <v>1338</v>
      </c>
      <c r="D4" s="1794" t="s">
        <v>1337</v>
      </c>
      <c r="E4" s="74"/>
      <c r="F4" s="74"/>
      <c r="G4" s="1812" t="s">
        <v>834</v>
      </c>
      <c r="H4" s="1797" t="s">
        <v>1174</v>
      </c>
      <c r="I4" s="1797" t="s">
        <v>488</v>
      </c>
      <c r="J4" s="1797"/>
      <c r="K4" s="1797" t="s">
        <v>489</v>
      </c>
      <c r="L4" s="1797"/>
      <c r="M4" s="1797" t="s">
        <v>490</v>
      </c>
      <c r="N4" s="1797"/>
      <c r="O4" s="1797" t="s">
        <v>491</v>
      </c>
      <c r="P4" s="1797"/>
      <c r="Q4" s="1797" t="s">
        <v>805</v>
      </c>
      <c r="R4" s="1797"/>
      <c r="S4" s="1797" t="s">
        <v>806</v>
      </c>
      <c r="T4" s="1797"/>
      <c r="U4" s="1797" t="s">
        <v>807</v>
      </c>
      <c r="V4" s="1797"/>
      <c r="W4" s="1797" t="s">
        <v>808</v>
      </c>
      <c r="X4" s="1797"/>
      <c r="Y4" s="1797" t="s">
        <v>809</v>
      </c>
      <c r="Z4" s="1797"/>
      <c r="AA4" s="1797" t="s">
        <v>482</v>
      </c>
      <c r="AB4" s="1797"/>
      <c r="AC4" s="1797" t="s">
        <v>486</v>
      </c>
      <c r="AD4" s="1797"/>
      <c r="AE4" s="1797" t="s">
        <v>487</v>
      </c>
      <c r="AF4" s="1797"/>
      <c r="AG4" s="74"/>
      <c r="AH4" s="74"/>
      <c r="AI4" s="74"/>
      <c r="AJ4" s="74"/>
      <c r="AK4" s="74"/>
      <c r="AL4" s="74"/>
      <c r="AM4" s="74"/>
      <c r="AN4" s="74"/>
      <c r="AO4" s="74"/>
      <c r="AP4" s="74"/>
      <c r="AQ4" s="74"/>
      <c r="AR4" s="74"/>
      <c r="AS4" s="74"/>
      <c r="AT4" s="74"/>
      <c r="AU4" s="74"/>
    </row>
    <row r="5" spans="1:47" ht="72.900000000000006" customHeight="1" x14ac:dyDescent="0.3">
      <c r="A5" s="1808"/>
      <c r="B5" s="1809"/>
      <c r="C5" s="1811"/>
      <c r="D5" s="1810"/>
      <c r="E5" s="74"/>
      <c r="F5" s="74"/>
      <c r="G5" s="1813"/>
      <c r="H5" s="1814"/>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3">
      <c r="A6" s="303" t="s">
        <v>1178</v>
      </c>
      <c r="B6" s="304" t="s">
        <v>842</v>
      </c>
      <c r="C6" s="305">
        <f>'Расчет базового уровня'!D6</f>
        <v>1658428.8450000002</v>
      </c>
      <c r="D6" s="305">
        <f>D12+D15+D18</f>
        <v>921187.33893358801</v>
      </c>
      <c r="E6" s="74"/>
      <c r="F6" s="74"/>
      <c r="G6" s="303" t="s">
        <v>1178</v>
      </c>
      <c r="H6" s="304" t="s">
        <v>842</v>
      </c>
      <c r="I6" s="306">
        <f>'Расчет базового уровня'!J6</f>
        <v>266822.74799999996</v>
      </c>
      <c r="J6" s="306">
        <f>J12+J15+J18</f>
        <v>146581.5335034653</v>
      </c>
      <c r="K6" s="306">
        <f>'Расчет базового уровня'!M6</f>
        <v>216902.92199999999</v>
      </c>
      <c r="L6" s="306">
        <f>L12+L15+L18</f>
        <v>127385.73885335808</v>
      </c>
      <c r="M6" s="306">
        <f>'Расчет базового уровня'!P6</f>
        <v>231796.32099999997</v>
      </c>
      <c r="N6" s="306">
        <f>N12+N15+N18</f>
        <v>109668.15870071512</v>
      </c>
      <c r="O6" s="306">
        <f>'Расчет базового уровня'!S6</f>
        <v>151171.54999999999</v>
      </c>
      <c r="P6" s="306">
        <f>P12+P15+P18</f>
        <v>57781.701697378863</v>
      </c>
      <c r="Q6" s="306">
        <f>'Расчет базового уровня'!V6</f>
        <v>48380.017999999996</v>
      </c>
      <c r="R6" s="306">
        <f>R12+R15+R18</f>
        <v>40126.845862119502</v>
      </c>
      <c r="S6" s="306">
        <f>'Расчет базового уровня'!Y6</f>
        <v>43476.960999999996</v>
      </c>
      <c r="T6" s="306">
        <f>T12+T15+T18</f>
        <v>35935.052273740279</v>
      </c>
      <c r="U6" s="306">
        <f>'Расчет базового уровня'!AB6</f>
        <v>44737.206000000006</v>
      </c>
      <c r="V6" s="306">
        <f>V12+V15+V18</f>
        <v>34126.804439810505</v>
      </c>
      <c r="W6" s="306">
        <f>'Расчет базового уровня'!AE6</f>
        <v>46396.289999999994</v>
      </c>
      <c r="X6" s="306">
        <f>X12+X15+X18</f>
        <v>30418.316083119495</v>
      </c>
      <c r="Y6" s="306">
        <f>'Расчет базового уровня'!AH6</f>
        <v>46453.29</v>
      </c>
      <c r="Z6" s="306">
        <f>Z12+Z15+Z18</f>
        <v>32322.178817740289</v>
      </c>
      <c r="AA6" s="306">
        <f>'Расчет базового уровня'!AK6</f>
        <v>98123.073000000004</v>
      </c>
      <c r="AB6" s="306">
        <f>AB12+AB15+AB18</f>
        <v>65772.958822547822</v>
      </c>
      <c r="AC6" s="306">
        <f>'Расчет базового уровня'!AN6</f>
        <v>237332.96400000001</v>
      </c>
      <c r="AD6" s="306">
        <f>AD12+AD15+AD18</f>
        <v>107389.44821082115</v>
      </c>
      <c r="AE6" s="306">
        <f>'Расчет базового уровня'!AQ6</f>
        <v>226835.50200000001</v>
      </c>
      <c r="AF6" s="306">
        <f>AF12+AF15+AF18</f>
        <v>116508.0324647707</v>
      </c>
      <c r="AG6" s="74"/>
      <c r="AH6" s="74"/>
      <c r="AI6" s="74"/>
      <c r="AJ6" s="74"/>
      <c r="AK6" s="74"/>
      <c r="AL6" s="74"/>
      <c r="AM6" s="74"/>
      <c r="AN6" s="74"/>
      <c r="AO6" s="74"/>
      <c r="AP6" s="74"/>
      <c r="AQ6" s="74"/>
      <c r="AR6" s="74"/>
      <c r="AS6" s="74"/>
      <c r="AT6" s="74"/>
      <c r="AU6" s="74"/>
    </row>
    <row r="7" spans="1:47" ht="19.5" customHeight="1" x14ac:dyDescent="0.3">
      <c r="A7" s="307" t="s">
        <v>1339</v>
      </c>
      <c r="B7" s="304" t="s">
        <v>842</v>
      </c>
      <c r="C7" s="308"/>
      <c r="D7" s="308">
        <f>C6-D6</f>
        <v>737241.5060664122</v>
      </c>
      <c r="E7" s="74"/>
      <c r="F7" s="74"/>
      <c r="G7" s="307" t="s">
        <v>1339</v>
      </c>
      <c r="H7" s="304" t="s">
        <v>842</v>
      </c>
      <c r="I7" s="308"/>
      <c r="J7" s="308">
        <f>I6-J6</f>
        <v>120241.21449653467</v>
      </c>
      <c r="K7" s="308"/>
      <c r="L7" s="308">
        <f>K6-L6</f>
        <v>89517.18314664191</v>
      </c>
      <c r="M7" s="308"/>
      <c r="N7" s="308">
        <f>M6-N6</f>
        <v>122128.16229928484</v>
      </c>
      <c r="O7" s="308"/>
      <c r="P7" s="308">
        <f>O6-P6</f>
        <v>93389.848302621132</v>
      </c>
      <c r="Q7" s="308"/>
      <c r="R7" s="308">
        <f>Q6-R6</f>
        <v>8253.1721378804941</v>
      </c>
      <c r="S7" s="308"/>
      <c r="T7" s="308">
        <f>S6-T6</f>
        <v>7541.9087262597168</v>
      </c>
      <c r="U7" s="308"/>
      <c r="V7" s="308">
        <f>U6-V6</f>
        <v>10610.401560189501</v>
      </c>
      <c r="W7" s="308"/>
      <c r="X7" s="308">
        <f>W6-X6</f>
        <v>15977.973916880499</v>
      </c>
      <c r="Y7" s="308"/>
      <c r="Z7" s="308">
        <f>Y6-Z6</f>
        <v>14131.111182259712</v>
      </c>
      <c r="AA7" s="308"/>
      <c r="AB7" s="308">
        <f>AA6-AB6</f>
        <v>32350.114177452182</v>
      </c>
      <c r="AC7" s="308"/>
      <c r="AD7" s="308">
        <f>AC6-AD6</f>
        <v>129943.51578917885</v>
      </c>
      <c r="AE7" s="308"/>
      <c r="AF7" s="308">
        <f>AE6-AF6</f>
        <v>110327.46953522931</v>
      </c>
      <c r="AG7" s="74"/>
      <c r="AH7" s="74"/>
      <c r="AI7" s="74"/>
      <c r="AJ7" s="74"/>
      <c r="AK7" s="74"/>
      <c r="AL7" s="74"/>
      <c r="AM7" s="74"/>
      <c r="AN7" s="74"/>
      <c r="AO7" s="74"/>
      <c r="AP7" s="74"/>
      <c r="AQ7" s="74"/>
      <c r="AR7" s="74"/>
      <c r="AS7" s="74"/>
      <c r="AT7" s="74"/>
      <c r="AU7" s="74"/>
    </row>
    <row r="8" spans="1:47" ht="14.25" customHeight="1" x14ac:dyDescent="0.3">
      <c r="A8" s="307" t="s">
        <v>874</v>
      </c>
      <c r="B8" s="309" t="s">
        <v>1181</v>
      </c>
      <c r="C8" s="310"/>
      <c r="D8" s="310">
        <f>D7/C6</f>
        <v>0.44454213895828137</v>
      </c>
      <c r="E8" s="74"/>
      <c r="F8" s="74"/>
      <c r="G8" s="307" t="s">
        <v>874</v>
      </c>
      <c r="H8" s="309" t="s">
        <v>1181</v>
      </c>
      <c r="I8" s="310"/>
      <c r="J8" s="310">
        <f>IF(I6=0,0,J7/I6)</f>
        <v>0.45064079205321234</v>
      </c>
      <c r="K8" s="310"/>
      <c r="L8" s="310">
        <f>IF(K6=0,0,L7/K6)</f>
        <v>0.41270621124524043</v>
      </c>
      <c r="M8" s="310"/>
      <c r="N8" s="310">
        <f>IF(M6=0,0,N7/M6)</f>
        <v>0.52687705211371694</v>
      </c>
      <c r="O8" s="310"/>
      <c r="P8" s="310">
        <f>IF(O6=0,0,P7/O6)</f>
        <v>0.61777396806886709</v>
      </c>
      <c r="Q8" s="310"/>
      <c r="R8" s="310">
        <f>IF(Q6=0,0,R7/Q6)</f>
        <v>0.1705905139985788</v>
      </c>
      <c r="S8" s="310"/>
      <c r="T8" s="310">
        <f>IF(S6=0,0,T7/S6)</f>
        <v>0.17346908690926482</v>
      </c>
      <c r="U8" s="310"/>
      <c r="V8" s="310">
        <f>IF(U6=0,0,V7/U6)</f>
        <v>0.2371717527507082</v>
      </c>
      <c r="W8" s="310"/>
      <c r="X8" s="310">
        <f>IF(W6=0,0,X7/W6)</f>
        <v>0.34438042172942063</v>
      </c>
      <c r="Y8" s="310"/>
      <c r="Z8" s="310">
        <f>IF(Y6=0,0,Z7/Y6)</f>
        <v>0.30420043838143029</v>
      </c>
      <c r="AA8" s="310"/>
      <c r="AB8" s="310">
        <f>IF(AA6=0,0,AB7/AA6)</f>
        <v>0.32968916676154425</v>
      </c>
      <c r="AC8" s="310"/>
      <c r="AD8" s="310">
        <f>IF(AC6=0,0,AD7/AC6)</f>
        <v>0.54751566575125588</v>
      </c>
      <c r="AE8" s="310"/>
      <c r="AF8" s="310">
        <f>IF(AE6=0,0,AF7/AE6)</f>
        <v>0.48637655288733994</v>
      </c>
      <c r="AG8" s="74"/>
      <c r="AH8" s="74"/>
      <c r="AI8" s="74"/>
      <c r="AJ8" s="74"/>
      <c r="AK8" s="74"/>
      <c r="AL8" s="74"/>
      <c r="AM8" s="74"/>
      <c r="AN8" s="74"/>
      <c r="AO8" s="74"/>
      <c r="AP8" s="74"/>
      <c r="AQ8" s="74"/>
      <c r="AR8" s="74"/>
      <c r="AS8" s="74"/>
      <c r="AT8" s="74"/>
      <c r="AU8" s="74"/>
    </row>
    <row r="9" spans="1:47" ht="30" customHeight="1" x14ac:dyDescent="0.3">
      <c r="A9" s="311" t="s">
        <v>1182</v>
      </c>
      <c r="B9" s="304" t="s">
        <v>842</v>
      </c>
      <c r="C9" s="305">
        <f>'Расчет базового уровня'!D9</f>
        <v>1641940.8450000002</v>
      </c>
      <c r="D9" s="305">
        <f>D12+D15</f>
        <v>904549.84296470822</v>
      </c>
      <c r="E9" s="74"/>
      <c r="F9" s="74"/>
      <c r="G9" s="311" t="s">
        <v>1182</v>
      </c>
      <c r="H9" s="304" t="s">
        <v>842</v>
      </c>
      <c r="I9" s="306">
        <f>'Расчет базового уровня'!J9</f>
        <v>264926.74799999996</v>
      </c>
      <c r="J9" s="306">
        <f>J12+J15</f>
        <v>145102.69162644079</v>
      </c>
      <c r="K9" s="306">
        <f>'Расчет базового уровня'!M9</f>
        <v>215496.92199999999</v>
      </c>
      <c r="L9" s="306">
        <f>L12+L15</f>
        <v>125938.60245510718</v>
      </c>
      <c r="M9" s="306">
        <f>'Расчет базового уровня'!P9</f>
        <v>230119.32099999997</v>
      </c>
      <c r="N9" s="306">
        <f>N12+N15</f>
        <v>108189.31682369061</v>
      </c>
      <c r="O9" s="306">
        <f>'Расчет базового уровня'!S9</f>
        <v>149852.54999999999</v>
      </c>
      <c r="P9" s="306">
        <f>P12+P15</f>
        <v>56411.515168757418</v>
      </c>
      <c r="Q9" s="306">
        <f>'Расчет базового уровня'!V9</f>
        <v>47783.017999999996</v>
      </c>
      <c r="R9" s="306">
        <f>R12+R15</f>
        <v>38835.103014</v>
      </c>
      <c r="S9" s="306">
        <f>'Расчет базового уровня'!Y9</f>
        <v>42038.960999999996</v>
      </c>
      <c r="T9" s="306">
        <f>T12+T15</f>
        <v>34647.842465999995</v>
      </c>
      <c r="U9" s="306">
        <f>'Расчет базового уровня'!AB9</f>
        <v>43917.206000000006</v>
      </c>
      <c r="V9" s="306">
        <f>V12+V15</f>
        <v>32898.524157</v>
      </c>
      <c r="W9" s="306">
        <f>'Расчет базового уровня'!AE9</f>
        <v>45159.289999999994</v>
      </c>
      <c r="X9" s="306">
        <f>X12+X15</f>
        <v>29126.573234999996</v>
      </c>
      <c r="Y9" s="306">
        <f>'Расчет базового уровня'!AH9</f>
        <v>45159.29</v>
      </c>
      <c r="Z9" s="306">
        <f>Z12+Z15</f>
        <v>31034.969010000004</v>
      </c>
      <c r="AA9" s="306">
        <f>'Расчет базового уровня'!AK9</f>
        <v>97193.073000000004</v>
      </c>
      <c r="AB9" s="306">
        <f>AB12+AB15</f>
        <v>64342.9214396264</v>
      </c>
      <c r="AC9" s="306">
        <f>'Расчет базового уровня'!AN9</f>
        <v>234725.96400000001</v>
      </c>
      <c r="AD9" s="306">
        <f>AD12+AD15</f>
        <v>105921.17482672118</v>
      </c>
      <c r="AE9" s="306">
        <f>'Расчет базового уровня'!AQ9</f>
        <v>225568.50200000001</v>
      </c>
      <c r="AF9" s="306">
        <f>AF12+AF15</f>
        <v>115029.19058774618</v>
      </c>
      <c r="AG9" s="74"/>
      <c r="AH9" s="74"/>
      <c r="AI9" s="74"/>
      <c r="AJ9" s="74"/>
      <c r="AK9" s="74"/>
      <c r="AL9" s="74"/>
      <c r="AM9" s="74"/>
      <c r="AN9" s="74"/>
      <c r="AO9" s="74"/>
      <c r="AP9" s="74"/>
      <c r="AQ9" s="74"/>
      <c r="AR9" s="74"/>
      <c r="AS9" s="74"/>
      <c r="AT9" s="74"/>
      <c r="AU9" s="74"/>
    </row>
    <row r="10" spans="1:47" ht="16.5" customHeight="1" x14ac:dyDescent="0.3">
      <c r="A10" s="307" t="s">
        <v>1339</v>
      </c>
      <c r="B10" s="304" t="s">
        <v>842</v>
      </c>
      <c r="C10" s="308"/>
      <c r="D10" s="308">
        <f>C9-D9</f>
        <v>737391.00203529198</v>
      </c>
      <c r="E10" s="74"/>
      <c r="F10" s="74"/>
      <c r="G10" s="307" t="s">
        <v>1339</v>
      </c>
      <c r="H10" s="304" t="s">
        <v>842</v>
      </c>
      <c r="I10" s="308"/>
      <c r="J10" s="308">
        <f>I9-J9</f>
        <v>119824.05637355917</v>
      </c>
      <c r="K10" s="308"/>
      <c r="L10" s="308">
        <f>K9-L9</f>
        <v>89558.319544892816</v>
      </c>
      <c r="M10" s="308"/>
      <c r="N10" s="308">
        <f>M9-N9</f>
        <v>121930.00417630936</v>
      </c>
      <c r="O10" s="308"/>
      <c r="P10" s="308">
        <f>O9-P9</f>
        <v>93441.034831242578</v>
      </c>
      <c r="Q10" s="308"/>
      <c r="R10" s="308">
        <f>Q9-R9</f>
        <v>8947.9149859999961</v>
      </c>
      <c r="S10" s="308"/>
      <c r="T10" s="308">
        <f>S9-T9</f>
        <v>7391.1185340000011</v>
      </c>
      <c r="U10" s="308"/>
      <c r="V10" s="308">
        <f>U9-V9</f>
        <v>11018.681843000006</v>
      </c>
      <c r="W10" s="308"/>
      <c r="X10" s="308">
        <f>W9-X9</f>
        <v>16032.716764999997</v>
      </c>
      <c r="Y10" s="308"/>
      <c r="Z10" s="308">
        <f>Y9-Z9</f>
        <v>14124.320989999997</v>
      </c>
      <c r="AA10" s="308"/>
      <c r="AB10" s="308">
        <f>AA9-AB9</f>
        <v>32850.151560373604</v>
      </c>
      <c r="AC10" s="308"/>
      <c r="AD10" s="308">
        <f>AC9-AD9</f>
        <v>128804.78917327883</v>
      </c>
      <c r="AE10" s="308"/>
      <c r="AF10" s="308">
        <f>AE9-AF9</f>
        <v>110539.31141225382</v>
      </c>
      <c r="AG10" s="74"/>
      <c r="AH10" s="74"/>
      <c r="AI10" s="74"/>
      <c r="AJ10" s="74"/>
      <c r="AK10" s="74"/>
      <c r="AL10" s="74"/>
      <c r="AM10" s="74"/>
      <c r="AN10" s="74"/>
      <c r="AO10" s="74"/>
      <c r="AP10" s="74"/>
      <c r="AQ10" s="74"/>
      <c r="AR10" s="74"/>
      <c r="AS10" s="74"/>
      <c r="AT10" s="74"/>
      <c r="AU10" s="74"/>
    </row>
    <row r="11" spans="1:47" ht="15.75" customHeight="1" x14ac:dyDescent="0.3">
      <c r="A11" s="307" t="s">
        <v>874</v>
      </c>
      <c r="B11" s="309" t="s">
        <v>1181</v>
      </c>
      <c r="C11" s="310"/>
      <c r="D11" s="310">
        <f>D10/C9</f>
        <v>0.44909717928071391</v>
      </c>
      <c r="E11" s="74"/>
      <c r="F11" s="74"/>
      <c r="G11" s="307" t="s">
        <v>874</v>
      </c>
      <c r="H11" s="309" t="s">
        <v>1181</v>
      </c>
      <c r="I11" s="310"/>
      <c r="J11" s="310">
        <f>IF(I9=0,0,J10/I9)</f>
        <v>0.45229127401495595</v>
      </c>
      <c r="K11" s="310"/>
      <c r="L11" s="310">
        <f>IF(K9=0,0,L10/K9)</f>
        <v>0.41558978529119234</v>
      </c>
      <c r="M11" s="310"/>
      <c r="N11" s="310">
        <f>IF(M9=0,0,N10/M9)</f>
        <v>0.52985557078151369</v>
      </c>
      <c r="O11" s="310"/>
      <c r="P11" s="310">
        <f>IF(O9=0,0,P10/O9)</f>
        <v>0.62355318498912826</v>
      </c>
      <c r="Q11" s="310"/>
      <c r="R11" s="310">
        <f>IF(Q9=0,0,R10/Q9)</f>
        <v>0.18726140291096718</v>
      </c>
      <c r="S11" s="310"/>
      <c r="T11" s="310">
        <f>IF(S9=0,0,T10/S9)</f>
        <v>0.17581591833347171</v>
      </c>
      <c r="U11" s="310"/>
      <c r="V11" s="310">
        <f>IF(U9=0,0,V10/U9)</f>
        <v>0.25089669509030255</v>
      </c>
      <c r="W11" s="310"/>
      <c r="X11" s="310">
        <f>IF(W9=0,0,X10/W9)</f>
        <v>0.35502588204996138</v>
      </c>
      <c r="Y11" s="310"/>
      <c r="Z11" s="310">
        <f>IF(Y9=0,0,Z10/Y9)</f>
        <v>0.31276667525109442</v>
      </c>
      <c r="AA11" s="310"/>
      <c r="AB11" s="310">
        <f>IF(AA9=0,0,AB10/AA9)</f>
        <v>0.33798860913034001</v>
      </c>
      <c r="AC11" s="310"/>
      <c r="AD11" s="310">
        <f>IF(AC9=0,0,AD10/AC9)</f>
        <v>0.54874538367335801</v>
      </c>
      <c r="AE11" s="310"/>
      <c r="AF11" s="310">
        <f>IF(AE9=0,0,AF10/AE9)</f>
        <v>0.4900476371131543</v>
      </c>
      <c r="AG11" s="74"/>
      <c r="AH11" s="74"/>
      <c r="AI11" s="74"/>
      <c r="AJ11" s="74"/>
      <c r="AK11" s="74"/>
      <c r="AL11" s="74"/>
      <c r="AM11" s="74"/>
      <c r="AN11" s="74"/>
      <c r="AO11" s="74"/>
      <c r="AP11" s="74"/>
      <c r="AQ11" s="74"/>
      <c r="AR11" s="74"/>
      <c r="AS11" s="74"/>
      <c r="AT11" s="74"/>
      <c r="AU11" s="74"/>
    </row>
    <row r="12" spans="1:47" ht="20.25" customHeight="1" x14ac:dyDescent="0.3">
      <c r="A12" s="312" t="s">
        <v>1185</v>
      </c>
      <c r="B12" s="304" t="s">
        <v>842</v>
      </c>
      <c r="C12" s="305">
        <f>'Расчет базового уровня'!D12</f>
        <v>1249165.921475308</v>
      </c>
      <c r="D12" s="305">
        <f>D35</f>
        <v>511774.91944001598</v>
      </c>
      <c r="E12" s="74"/>
      <c r="F12" s="74"/>
      <c r="G12" s="312" t="s">
        <v>1185</v>
      </c>
      <c r="H12" s="304" t="s">
        <v>842</v>
      </c>
      <c r="I12" s="306">
        <f>'Расчет базового уровня'!J12</f>
        <v>230240.41139699999</v>
      </c>
      <c r="J12" s="306">
        <f>J35</f>
        <v>110416.35502344079</v>
      </c>
      <c r="K12" s="306">
        <f>'Расчет базового уровня'!M12</f>
        <v>181919.08605399998</v>
      </c>
      <c r="L12" s="306">
        <f>L35</f>
        <v>92360.766509107183</v>
      </c>
      <c r="M12" s="306">
        <f>'Расчет базового уровня'!P12</f>
        <v>198451.83815799997</v>
      </c>
      <c r="N12" s="306">
        <f>N35</f>
        <v>76521.833981690608</v>
      </c>
      <c r="O12" s="306">
        <f>'Расчет базового уровня'!S12</f>
        <v>116800.58311200001</v>
      </c>
      <c r="P12" s="306">
        <f>P35</f>
        <v>23359.548280757423</v>
      </c>
      <c r="Q12" s="306">
        <f>'Расчет базового уровня'!V12</f>
        <v>8947.9149859999961</v>
      </c>
      <c r="R12" s="306">
        <f>R35</f>
        <v>0</v>
      </c>
      <c r="S12" s="306">
        <f>'Расчет базового уровня'!Y12</f>
        <v>7391.1185340000011</v>
      </c>
      <c r="T12" s="306">
        <f>T35</f>
        <v>0</v>
      </c>
      <c r="U12" s="306">
        <f>'Расчет базового уровня'!AB12</f>
        <v>11018.681843000002</v>
      </c>
      <c r="V12" s="306">
        <f>V35</f>
        <v>0</v>
      </c>
      <c r="W12" s="306">
        <f>'Расчет базового уровня'!AE12</f>
        <v>16032.716764999997</v>
      </c>
      <c r="X12" s="306">
        <f>X35</f>
        <v>0</v>
      </c>
      <c r="Y12" s="306">
        <f>'Расчет базового уровня'!AH12</f>
        <v>14124.320989999998</v>
      </c>
      <c r="Z12" s="306">
        <f>Z35</f>
        <v>0</v>
      </c>
      <c r="AA12" s="306">
        <f>'Расчет базового уровня'!AK12</f>
        <v>67415.717529000001</v>
      </c>
      <c r="AB12" s="306">
        <f>AB35</f>
        <v>34565.565968626397</v>
      </c>
      <c r="AC12" s="306">
        <f>'Расчет базового уровня'!AN12</f>
        <v>203465.60559000002</v>
      </c>
      <c r="AD12" s="306">
        <f>AD35</f>
        <v>74660.81641672118</v>
      </c>
      <c r="AE12" s="306">
        <f>'Расчет базового уровня'!AQ12</f>
        <v>194593.26118100001</v>
      </c>
      <c r="AF12" s="306">
        <f>AF35</f>
        <v>84053.949768746184</v>
      </c>
      <c r="AG12" s="74"/>
      <c r="AH12" s="74"/>
      <c r="AI12" s="74"/>
      <c r="AJ12" s="74"/>
      <c r="AK12" s="74"/>
      <c r="AL12" s="74"/>
      <c r="AM12" s="74"/>
      <c r="AN12" s="74"/>
      <c r="AO12" s="74"/>
      <c r="AP12" s="74"/>
      <c r="AQ12" s="74"/>
      <c r="AR12" s="74"/>
      <c r="AS12" s="74"/>
      <c r="AT12" s="74"/>
      <c r="AU12" s="74"/>
    </row>
    <row r="13" spans="1:47" x14ac:dyDescent="0.3">
      <c r="A13" s="307" t="s">
        <v>1339</v>
      </c>
      <c r="B13" s="304" t="s">
        <v>842</v>
      </c>
      <c r="C13" s="308"/>
      <c r="D13" s="308">
        <f>C12-D12</f>
        <v>737391.0020352921</v>
      </c>
      <c r="E13" s="74"/>
      <c r="F13" s="74"/>
      <c r="G13" s="307" t="s">
        <v>1339</v>
      </c>
      <c r="H13" s="304" t="s">
        <v>842</v>
      </c>
      <c r="I13" s="308"/>
      <c r="J13" s="308">
        <f>I12-J12</f>
        <v>119824.0563735592</v>
      </c>
      <c r="K13" s="308"/>
      <c r="L13" s="308">
        <f>K12-L12</f>
        <v>89558.319544892802</v>
      </c>
      <c r="M13" s="308"/>
      <c r="N13" s="308">
        <f>M12-N12</f>
        <v>121930.00417630936</v>
      </c>
      <c r="O13" s="308"/>
      <c r="P13" s="308">
        <f>O12-P12</f>
        <v>93441.034831242578</v>
      </c>
      <c r="Q13" s="308"/>
      <c r="R13" s="308">
        <f>Q12-R12</f>
        <v>8947.9149859999961</v>
      </c>
      <c r="S13" s="308"/>
      <c r="T13" s="308">
        <f>S12-T12</f>
        <v>7391.1185340000011</v>
      </c>
      <c r="U13" s="308"/>
      <c r="V13" s="308">
        <f>U12-V12</f>
        <v>11018.681843000002</v>
      </c>
      <c r="W13" s="308"/>
      <c r="X13" s="308">
        <f>W12-X12</f>
        <v>16032.716764999997</v>
      </c>
      <c r="Y13" s="308"/>
      <c r="Z13" s="308">
        <f>Y12-Z12</f>
        <v>14124.320989999998</v>
      </c>
      <c r="AA13" s="308"/>
      <c r="AB13" s="308">
        <f>AA12-AB12</f>
        <v>32850.151560373604</v>
      </c>
      <c r="AC13" s="308"/>
      <c r="AD13" s="308">
        <f>AC12-AD12</f>
        <v>128804.78917327884</v>
      </c>
      <c r="AE13" s="308"/>
      <c r="AF13" s="308">
        <f>AE12-AF12</f>
        <v>110539.31141225382</v>
      </c>
      <c r="AG13" s="74"/>
      <c r="AH13" s="74"/>
      <c r="AI13" s="74"/>
      <c r="AJ13" s="74"/>
      <c r="AK13" s="74"/>
      <c r="AL13" s="74"/>
      <c r="AM13" s="74"/>
      <c r="AN13" s="74"/>
      <c r="AO13" s="74"/>
      <c r="AP13" s="74"/>
      <c r="AQ13" s="74"/>
      <c r="AR13" s="74"/>
      <c r="AS13" s="74"/>
      <c r="AT13" s="74"/>
      <c r="AU13" s="74"/>
    </row>
    <row r="14" spans="1:47" x14ac:dyDescent="0.3">
      <c r="A14" s="307" t="s">
        <v>874</v>
      </c>
      <c r="B14" s="309" t="s">
        <v>1181</v>
      </c>
      <c r="C14" s="310"/>
      <c r="D14" s="310">
        <f>D13/C12</f>
        <v>0.59030669133561364</v>
      </c>
      <c r="E14" s="74"/>
      <c r="F14" s="74"/>
      <c r="G14" s="307" t="s">
        <v>874</v>
      </c>
      <c r="H14" s="309" t="s">
        <v>1181</v>
      </c>
      <c r="I14" s="310"/>
      <c r="J14" s="310">
        <f>IF(I12=0,0,J13/I12)</f>
        <v>0.5204301696931406</v>
      </c>
      <c r="K14" s="310"/>
      <c r="L14" s="310">
        <f>IF(K12=0,0,L13/K12)</f>
        <v>0.49229754550497656</v>
      </c>
      <c r="M14" s="310"/>
      <c r="N14" s="310">
        <f>IF(M12=0,0,N13/M12)</f>
        <v>0.61440602066498995</v>
      </c>
      <c r="O14" s="310"/>
      <c r="P14" s="310">
        <f>IF(O12=0,0,P13/O12)</f>
        <v>0.8000048659144281</v>
      </c>
      <c r="Q14" s="310"/>
      <c r="R14" s="310">
        <f>IF(Q12=0,0,R13/Q12)</f>
        <v>1</v>
      </c>
      <c r="S14" s="310"/>
      <c r="T14" s="310">
        <f>IF(S12=0,0,T13/S12)</f>
        <v>1</v>
      </c>
      <c r="U14" s="310"/>
      <c r="V14" s="310">
        <f>IF(U12=0,0,V13/U12)</f>
        <v>1</v>
      </c>
      <c r="W14" s="310"/>
      <c r="X14" s="310">
        <f>IF(W12=0,0,X13/W12)</f>
        <v>1</v>
      </c>
      <c r="Y14" s="310"/>
      <c r="Z14" s="310">
        <f>IF(Y12=0,0,Z13/Y12)</f>
        <v>1</v>
      </c>
      <c r="AA14" s="310"/>
      <c r="AB14" s="310">
        <f>IF(AA12=0,0,AB13/AA12)</f>
        <v>0.48727734072165829</v>
      </c>
      <c r="AC14" s="310"/>
      <c r="AD14" s="310">
        <f>IF(AC12=0,0,AD13/AC12)</f>
        <v>0.6330543621845901</v>
      </c>
      <c r="AE14" s="310"/>
      <c r="AF14" s="310">
        <f>IF(AE12=0,0,AF13/AE12)</f>
        <v>0.56805313165205762</v>
      </c>
      <c r="AG14" s="74"/>
      <c r="AH14" s="74"/>
      <c r="AI14" s="74"/>
      <c r="AJ14" s="74"/>
      <c r="AK14" s="74"/>
      <c r="AL14" s="74"/>
      <c r="AM14" s="74"/>
      <c r="AN14" s="74"/>
      <c r="AO14" s="74"/>
      <c r="AP14" s="74"/>
      <c r="AQ14" s="74"/>
      <c r="AR14" s="74"/>
      <c r="AS14" s="74"/>
      <c r="AT14" s="74"/>
      <c r="AU14" s="74"/>
    </row>
    <row r="15" spans="1:47" ht="16.5" customHeight="1" x14ac:dyDescent="0.3">
      <c r="A15" s="312" t="s">
        <v>999</v>
      </c>
      <c r="B15" s="304" t="s">
        <v>842</v>
      </c>
      <c r="C15" s="305">
        <f>'Расчет базового уровня'!D15</f>
        <v>392774.92352469225</v>
      </c>
      <c r="D15" s="306">
        <f>D85</f>
        <v>392774.92352469225</v>
      </c>
      <c r="E15" s="74"/>
      <c r="F15" s="74"/>
      <c r="G15" s="312" t="s">
        <v>999</v>
      </c>
      <c r="H15" s="304" t="s">
        <v>842</v>
      </c>
      <c r="I15" s="306">
        <f>'Расчет базового уровня'!J15</f>
        <v>34686.336602999996</v>
      </c>
      <c r="J15" s="306">
        <f>J85</f>
        <v>34686.336602999996</v>
      </c>
      <c r="K15" s="306">
        <f>'Расчет базового уровня'!M15</f>
        <v>33577.835945999999</v>
      </c>
      <c r="L15" s="306">
        <f>L85</f>
        <v>33577.835945999999</v>
      </c>
      <c r="M15" s="306">
        <f>'Расчет базового уровня'!P15</f>
        <v>31667.482842000001</v>
      </c>
      <c r="N15" s="306">
        <f>N85</f>
        <v>31667.482842000005</v>
      </c>
      <c r="O15" s="306">
        <f>'Расчет базового уровня'!S15</f>
        <v>33051.966887999995</v>
      </c>
      <c r="P15" s="306">
        <f>P85</f>
        <v>33051.966887999995</v>
      </c>
      <c r="Q15" s="306">
        <f>'Расчет базового уровня'!V15</f>
        <v>38835.103014</v>
      </c>
      <c r="R15" s="306">
        <f>R85</f>
        <v>38835.103014</v>
      </c>
      <c r="S15" s="306">
        <f>'Расчет базового уровня'!Y15</f>
        <v>34647.842465999995</v>
      </c>
      <c r="T15" s="306">
        <f>T85</f>
        <v>34647.842465999995</v>
      </c>
      <c r="U15" s="306">
        <f>'Расчет базового уровня'!AB15</f>
        <v>32898.524157</v>
      </c>
      <c r="V15" s="306">
        <f>V85</f>
        <v>32898.524157</v>
      </c>
      <c r="W15" s="306">
        <f>'Расчет базового уровня'!AE15</f>
        <v>29126.573235</v>
      </c>
      <c r="X15" s="306">
        <f>X85</f>
        <v>29126.573234999996</v>
      </c>
      <c r="Y15" s="306">
        <f>'Расчет базового уровня'!AH15</f>
        <v>31034.969010000001</v>
      </c>
      <c r="Z15" s="306">
        <f>Z85</f>
        <v>31034.969010000004</v>
      </c>
      <c r="AA15" s="306">
        <f>'Расчет базового уровня'!AK15</f>
        <v>29777.355471000003</v>
      </c>
      <c r="AB15" s="306">
        <f>AB85</f>
        <v>29777.355471000006</v>
      </c>
      <c r="AC15" s="306">
        <f>'Расчет базового уровня'!AN15</f>
        <v>31260.358409999993</v>
      </c>
      <c r="AD15" s="306">
        <f>AD85</f>
        <v>31260.358409999997</v>
      </c>
      <c r="AE15" s="306">
        <f>'Расчет базового уровня'!AQ15</f>
        <v>30975.240818999999</v>
      </c>
      <c r="AF15" s="306">
        <f>AF85</f>
        <v>30975.240818999999</v>
      </c>
      <c r="AG15" s="74"/>
      <c r="AH15" s="74"/>
      <c r="AI15" s="74"/>
      <c r="AJ15" s="74"/>
      <c r="AK15" s="74"/>
      <c r="AL15" s="74"/>
      <c r="AM15" s="74"/>
      <c r="AN15" s="74"/>
      <c r="AO15" s="74"/>
      <c r="AP15" s="74"/>
      <c r="AQ15" s="74"/>
      <c r="AR15" s="74"/>
      <c r="AS15" s="74"/>
      <c r="AT15" s="74"/>
      <c r="AU15" s="74"/>
    </row>
    <row r="16" spans="1:47" x14ac:dyDescent="0.3">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3">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3">
      <c r="A18" s="303" t="s">
        <v>1188</v>
      </c>
      <c r="B18" s="304" t="s">
        <v>842</v>
      </c>
      <c r="C18" s="305">
        <f>'Расчет базового уровня'!D18</f>
        <v>16488</v>
      </c>
      <c r="D18" s="305">
        <f>D100</f>
        <v>16637.495968879794</v>
      </c>
      <c r="E18" s="74"/>
      <c r="F18" s="74"/>
      <c r="G18" s="303" t="s">
        <v>1188</v>
      </c>
      <c r="H18" s="304" t="s">
        <v>842</v>
      </c>
      <c r="I18" s="306">
        <f>'Расчет базового уровня'!J18</f>
        <v>1896</v>
      </c>
      <c r="J18" s="306">
        <f>J100</f>
        <v>1478.8418770245144</v>
      </c>
      <c r="K18" s="306">
        <f>'Расчет базового уровня'!M18</f>
        <v>1405.9999999999998</v>
      </c>
      <c r="L18" s="306">
        <f>L100</f>
        <v>1447.1363982509042</v>
      </c>
      <c r="M18" s="306">
        <f>'Расчет базового уровня'!P18</f>
        <v>1677</v>
      </c>
      <c r="N18" s="306">
        <f>N100</f>
        <v>1478.8418770245144</v>
      </c>
      <c r="O18" s="306">
        <f>'Расчет базового уровня'!S18</f>
        <v>1319</v>
      </c>
      <c r="P18" s="306">
        <f>P100</f>
        <v>1370.186528621442</v>
      </c>
      <c r="Q18" s="306">
        <f>'Расчет базового уровня'!V18</f>
        <v>597</v>
      </c>
      <c r="R18" s="306">
        <f>R100</f>
        <v>1291.7428481194986</v>
      </c>
      <c r="S18" s="306">
        <f>'Расчет базового уровня'!Y18</f>
        <v>1438</v>
      </c>
      <c r="T18" s="306">
        <f>T100</f>
        <v>1287.209807740285</v>
      </c>
      <c r="U18" s="306">
        <f>'Расчет базового уровня'!AB18</f>
        <v>820</v>
      </c>
      <c r="V18" s="306">
        <f>V100</f>
        <v>1228.280282810508</v>
      </c>
      <c r="W18" s="306">
        <f>'Расчет базового уровня'!AE18</f>
        <v>1237</v>
      </c>
      <c r="X18" s="306">
        <f>X100</f>
        <v>1291.7428481194986</v>
      </c>
      <c r="Y18" s="306">
        <f>'Расчет базового уровня'!AH18</f>
        <v>1294</v>
      </c>
      <c r="Z18" s="306">
        <f>Z100</f>
        <v>1287.209807740285</v>
      </c>
      <c r="AA18" s="306">
        <f>'Расчет базового уровня'!AK18</f>
        <v>930</v>
      </c>
      <c r="AB18" s="306">
        <f>AB100</f>
        <v>1430.0373829214268</v>
      </c>
      <c r="AC18" s="306">
        <f>'Расчет базового уровня'!AN18</f>
        <v>2606.9999999999995</v>
      </c>
      <c r="AD18" s="306">
        <f>AD100</f>
        <v>1468.2733840999776</v>
      </c>
      <c r="AE18" s="306">
        <f>'Расчет базового уровня'!AQ18</f>
        <v>1267</v>
      </c>
      <c r="AF18" s="306">
        <f>AF100</f>
        <v>1478.8418770245144</v>
      </c>
      <c r="AG18" s="74"/>
      <c r="AH18" s="74"/>
      <c r="AI18" s="74"/>
      <c r="AJ18" s="74"/>
      <c r="AK18" s="74"/>
      <c r="AL18" s="74"/>
      <c r="AM18" s="74"/>
      <c r="AN18" s="74"/>
      <c r="AO18" s="74"/>
      <c r="AP18" s="74"/>
      <c r="AQ18" s="74"/>
      <c r="AR18" s="74"/>
      <c r="AS18" s="74"/>
      <c r="AT18" s="74"/>
      <c r="AU18" s="74"/>
    </row>
    <row r="19" spans="1:47" ht="15.75" customHeight="1" x14ac:dyDescent="0.3">
      <c r="A19" s="307" t="s">
        <v>1339</v>
      </c>
      <c r="B19" s="304" t="s">
        <v>842</v>
      </c>
      <c r="C19" s="308"/>
      <c r="D19" s="308">
        <f>C18-D18</f>
        <v>-149.49596887979351</v>
      </c>
      <c r="E19" s="74"/>
      <c r="F19" s="74"/>
      <c r="G19" s="307" t="s">
        <v>1339</v>
      </c>
      <c r="H19" s="304" t="s">
        <v>842</v>
      </c>
      <c r="I19" s="308"/>
      <c r="J19" s="308">
        <f>I18-J18</f>
        <v>417.15812297548564</v>
      </c>
      <c r="K19" s="308"/>
      <c r="L19" s="308">
        <f>K18-L18</f>
        <v>-41.136398250904449</v>
      </c>
      <c r="M19" s="308"/>
      <c r="N19" s="308">
        <f>M18-N18</f>
        <v>198.15812297548564</v>
      </c>
      <c r="O19" s="308"/>
      <c r="P19" s="308">
        <f>O18-P18</f>
        <v>-51.186528621441994</v>
      </c>
      <c r="Q19" s="308"/>
      <c r="R19" s="308">
        <f>Q18-R18</f>
        <v>-694.7428481194986</v>
      </c>
      <c r="S19" s="308"/>
      <c r="T19" s="308">
        <f>S18-T18</f>
        <v>150.79019225971501</v>
      </c>
      <c r="U19" s="308"/>
      <c r="V19" s="308">
        <f>U18-V18</f>
        <v>-408.28028281050797</v>
      </c>
      <c r="W19" s="308"/>
      <c r="X19" s="308">
        <f>W18-X18</f>
        <v>-54.742848119498603</v>
      </c>
      <c r="Y19" s="308"/>
      <c r="Z19" s="308">
        <f>Y18-Z18</f>
        <v>6.7901922597150133</v>
      </c>
      <c r="AA19" s="308"/>
      <c r="AB19" s="308">
        <f>AA18-AB18</f>
        <v>-500.0373829214268</v>
      </c>
      <c r="AC19" s="308"/>
      <c r="AD19" s="308">
        <f>AC18-AD18</f>
        <v>1138.7266159000219</v>
      </c>
      <c r="AE19" s="308"/>
      <c r="AF19" s="308">
        <f>AE18-AF18</f>
        <v>-211.84187702451436</v>
      </c>
      <c r="AG19" s="74"/>
      <c r="AH19" s="74"/>
      <c r="AI19" s="74"/>
      <c r="AJ19" s="74"/>
      <c r="AK19" s="74"/>
      <c r="AL19" s="74"/>
      <c r="AM19" s="74"/>
      <c r="AN19" s="74"/>
      <c r="AO19" s="74"/>
      <c r="AP19" s="74"/>
      <c r="AQ19" s="74"/>
      <c r="AR19" s="74"/>
      <c r="AS19" s="74"/>
      <c r="AT19" s="74"/>
      <c r="AU19" s="74"/>
    </row>
    <row r="20" spans="1:47" ht="15" customHeight="1" x14ac:dyDescent="0.3">
      <c r="A20" s="307" t="s">
        <v>874</v>
      </c>
      <c r="B20" s="309" t="s">
        <v>1181</v>
      </c>
      <c r="C20" s="310"/>
      <c r="D20" s="310">
        <f>D19/C18</f>
        <v>-9.0669559000359969E-3</v>
      </c>
      <c r="E20" s="74"/>
      <c r="F20" s="74"/>
      <c r="G20" s="307" t="s">
        <v>874</v>
      </c>
      <c r="H20" s="309" t="s">
        <v>1181</v>
      </c>
      <c r="I20" s="310"/>
      <c r="J20" s="310">
        <f>IF(I18=0,0,J19/I18)</f>
        <v>0.22002010705458103</v>
      </c>
      <c r="K20" s="310"/>
      <c r="L20" s="310">
        <f>IF(K18=0,0,L19/K18)</f>
        <v>-2.9257751245309001E-2</v>
      </c>
      <c r="M20" s="310"/>
      <c r="N20" s="310">
        <f>IF(M18=0,0,N19/M18)</f>
        <v>0.11816226772539394</v>
      </c>
      <c r="O20" s="310"/>
      <c r="P20" s="310">
        <f>IF(O18=0,0,P19/O18)</f>
        <v>-3.8807072495407123E-2</v>
      </c>
      <c r="Q20" s="310"/>
      <c r="R20" s="310">
        <f>IF(Q18=0,0,R19/Q18)</f>
        <v>-1.1637233636842523</v>
      </c>
      <c r="S20" s="310"/>
      <c r="T20" s="310">
        <f>IF(S18=0,0,T19/S18)</f>
        <v>0.10486105164097011</v>
      </c>
      <c r="U20" s="310"/>
      <c r="V20" s="310">
        <f>IF(U18=0,0,V19/U18)</f>
        <v>-0.49790278391525361</v>
      </c>
      <c r="W20" s="310"/>
      <c r="X20" s="310">
        <f>IF(W18=0,0,X19/W18)</f>
        <v>-4.4254525561437837E-2</v>
      </c>
      <c r="Y20" s="310"/>
      <c r="Z20" s="310">
        <f>IF(Y18=0,0,Z19/Y18)</f>
        <v>5.2474437864876459E-3</v>
      </c>
      <c r="AA20" s="310"/>
      <c r="AB20" s="310">
        <f>IF(AA18=0,0,AB19/AA18)</f>
        <v>-0.53767460529185673</v>
      </c>
      <c r="AC20" s="310"/>
      <c r="AD20" s="310">
        <f>IF(AC18=0,0,AD19/AC18)</f>
        <v>0.4367957866896901</v>
      </c>
      <c r="AE20" s="310"/>
      <c r="AF20" s="310">
        <f>IF(AE18=0,0,AF19/AE18)</f>
        <v>-0.16719958723323944</v>
      </c>
      <c r="AG20" s="74"/>
      <c r="AH20" s="74"/>
      <c r="AI20" s="74"/>
      <c r="AJ20" s="74"/>
      <c r="AK20" s="74"/>
      <c r="AL20" s="74"/>
      <c r="AM20" s="74"/>
      <c r="AN20" s="74"/>
      <c r="AO20" s="74"/>
      <c r="AP20" s="74"/>
      <c r="AQ20" s="74"/>
      <c r="AR20" s="74"/>
      <c r="AS20" s="74"/>
      <c r="AT20" s="74"/>
      <c r="AU20" s="74"/>
    </row>
    <row r="21" spans="1:47" ht="5.25" customHeight="1" x14ac:dyDescent="0.3">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3">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3">
      <c r="A23" s="315" t="s">
        <v>1189</v>
      </c>
      <c r="B23" s="304" t="s">
        <v>1190</v>
      </c>
      <c r="C23" s="305">
        <f>'Расчет базового уровня'!D23</f>
        <v>242.65902566428659</v>
      </c>
      <c r="D23" s="305">
        <f>D6/('Ввод исходных данных'!$G$45+'Ввод исходных данных'!$D$23)</f>
        <v>134.78686335795214</v>
      </c>
      <c r="E23" s="74"/>
      <c r="F23" s="74"/>
      <c r="G23" s="315" t="s">
        <v>1189</v>
      </c>
      <c r="H23" s="304" t="s">
        <v>1190</v>
      </c>
      <c r="I23" s="306">
        <f>'Расчет базового уровня'!J23</f>
        <v>0</v>
      </c>
      <c r="J23" s="306">
        <f>J6/'Ввод исходных данных'!$G$44</f>
        <v>18.469989857043082</v>
      </c>
      <c r="K23" s="306">
        <f>'Расчет базового уровня'!M23</f>
        <v>0</v>
      </c>
      <c r="L23" s="306">
        <f>L6/'Ввод исходных данных'!$G$44</f>
        <v>16.051225883087383</v>
      </c>
      <c r="M23" s="306">
        <f>'Расчет базового уровня'!P23</f>
        <v>0</v>
      </c>
      <c r="N23" s="306">
        <f>N6/'Ввод исходных данных'!$G$44</f>
        <v>13.818724162787623</v>
      </c>
      <c r="O23" s="306">
        <f>'Расчет базового уровня'!S23</f>
        <v>0</v>
      </c>
      <c r="P23" s="306">
        <f>P6/'Ввод исходных данных'!$G$44</f>
        <v>7.2807769080137676</v>
      </c>
      <c r="Q23" s="306">
        <f>'Расчет базового уровня'!V23</f>
        <v>0</v>
      </c>
      <c r="R23" s="306">
        <f>R6/'Ввод исходных данных'!$G$44</f>
        <v>5.0561787583628819</v>
      </c>
      <c r="S23" s="306">
        <f>'Расчет базового уровня'!Y23</f>
        <v>0</v>
      </c>
      <c r="T23" s="306">
        <f>T6/'Ввод исходных данных'!$G$44</f>
        <v>4.5279922725914519</v>
      </c>
      <c r="U23" s="306">
        <f>'Расчет базового уровня'!AB23</f>
        <v>0</v>
      </c>
      <c r="V23" s="306">
        <f>V6/'Ввод исходных данных'!$G$44</f>
        <v>4.3001442050112786</v>
      </c>
      <c r="W23" s="306">
        <f>'Расчет базового уровня'!AE23</f>
        <v>0</v>
      </c>
      <c r="X23" s="306">
        <f>X6/'Ввод исходных данных'!$G$44</f>
        <v>3.8328565413068589</v>
      </c>
      <c r="Y23" s="306">
        <f>'Расчет базового уровня'!AH23</f>
        <v>0</v>
      </c>
      <c r="Z23" s="306">
        <f>Z6/'Ввод исходных данных'!$G$44</f>
        <v>4.0727525538343654</v>
      </c>
      <c r="AA23" s="306">
        <f>'Расчет базового уровня'!AK23</f>
        <v>0</v>
      </c>
      <c r="AB23" s="306">
        <f>AB6/'Ввод исходных данных'!$G$44</f>
        <v>8.2877143749587745</v>
      </c>
      <c r="AC23" s="306">
        <f>'Расчет базового уровня'!AN23</f>
        <v>0</v>
      </c>
      <c r="AD23" s="306">
        <f>AD6/'Ввод исходных данных'!$G$44</f>
        <v>13.531595500468883</v>
      </c>
      <c r="AE23" s="306">
        <f>'Расчет базового уровня'!AQ23</f>
        <v>0</v>
      </c>
      <c r="AF23" s="306">
        <f>AF6/'Ввод исходных данных'!$G$44</f>
        <v>14.680581697130958</v>
      </c>
      <c r="AG23" s="74"/>
      <c r="AH23" s="74"/>
      <c r="AI23" s="74"/>
      <c r="AJ23" s="74"/>
      <c r="AK23" s="74"/>
      <c r="AL23" s="74"/>
      <c r="AM23" s="74"/>
      <c r="AN23" s="74"/>
      <c r="AO23" s="74"/>
      <c r="AP23" s="74"/>
      <c r="AQ23" s="74"/>
      <c r="AR23" s="74"/>
      <c r="AS23" s="74"/>
      <c r="AT23" s="74"/>
      <c r="AU23" s="74"/>
    </row>
    <row r="24" spans="1:47" x14ac:dyDescent="0.3">
      <c r="A24" s="307" t="s">
        <v>874</v>
      </c>
      <c r="B24" s="309" t="s">
        <v>1191</v>
      </c>
      <c r="C24" s="308"/>
      <c r="D24" s="316">
        <f>D7*1000/('Ввод исходных данных'!$G$45+'Ввод исходных данных'!$D$23)</f>
        <v>107872.16230633446</v>
      </c>
      <c r="E24" s="74"/>
      <c r="F24" s="74"/>
      <c r="G24" s="307" t="s">
        <v>874</v>
      </c>
      <c r="H24" s="309" t="s">
        <v>1191</v>
      </c>
      <c r="I24" s="95"/>
      <c r="J24" s="286">
        <f>0.123*J23</f>
        <v>2.2718087524162991</v>
      </c>
      <c r="K24" s="95"/>
      <c r="L24" s="286">
        <f>0.123*L23</f>
        <v>1.9743007836197481</v>
      </c>
      <c r="M24" s="95"/>
      <c r="N24" s="286">
        <f>0.123*N23</f>
        <v>1.6997030720228776</v>
      </c>
      <c r="O24" s="95"/>
      <c r="P24" s="286">
        <f>0.123*P23</f>
        <v>0.89553555968569343</v>
      </c>
      <c r="Q24" s="95"/>
      <c r="R24" s="286">
        <f>0.123*R23</f>
        <v>0.62190998727863445</v>
      </c>
      <c r="S24" s="95"/>
      <c r="T24" s="286">
        <f>0.123*T23</f>
        <v>0.55694304952874862</v>
      </c>
      <c r="U24" s="95"/>
      <c r="V24" s="286">
        <f>0.123*V23</f>
        <v>0.52891773721638724</v>
      </c>
      <c r="W24" s="95"/>
      <c r="X24" s="286">
        <f>0.123*X23</f>
        <v>0.47144135458074365</v>
      </c>
      <c r="Y24" s="95"/>
      <c r="Z24" s="286">
        <f>0.123*Z23</f>
        <v>0.50094856412162692</v>
      </c>
      <c r="AA24" s="95"/>
      <c r="AB24" s="286">
        <f>0.123*AB23</f>
        <v>1.0193888681199292</v>
      </c>
      <c r="AC24" s="95"/>
      <c r="AD24" s="286">
        <f>0.123*AD23</f>
        <v>1.6643862465576726</v>
      </c>
      <c r="AE24" s="95"/>
      <c r="AF24" s="286">
        <f>0.123*AF23</f>
        <v>1.8057115487471078</v>
      </c>
      <c r="AG24" s="74"/>
      <c r="AH24" s="74"/>
      <c r="AI24" s="74"/>
      <c r="AJ24" s="74"/>
      <c r="AK24" s="74"/>
      <c r="AL24" s="74"/>
      <c r="AM24" s="74"/>
      <c r="AN24" s="74"/>
      <c r="AO24" s="74"/>
      <c r="AP24" s="74"/>
      <c r="AQ24" s="74"/>
      <c r="AR24" s="74"/>
      <c r="AS24" s="74"/>
      <c r="AT24" s="74"/>
      <c r="AU24" s="74"/>
    </row>
    <row r="25" spans="1:47" x14ac:dyDescent="0.3">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3">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3">
      <c r="A27" s="74"/>
      <c r="B27" s="317">
        <f>D12</f>
        <v>511774.91944001598</v>
      </c>
      <c r="C27" s="317">
        <f>D18</f>
        <v>16637.495968879794</v>
      </c>
      <c r="D27" s="317">
        <f>D15</f>
        <v>392774.92352469225</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3">
      <c r="A28" s="74"/>
      <c r="B28" s="317">
        <f>C12</f>
        <v>1249165.921475308</v>
      </c>
      <c r="C28" s="317">
        <f>C18</f>
        <v>16488</v>
      </c>
      <c r="D28" s="317">
        <f>C15</f>
        <v>392774.92352469225</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3">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3">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3">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5">
      <c r="A32" s="1798" t="s">
        <v>1192</v>
      </c>
      <c r="B32" s="1798"/>
      <c r="C32" s="1798"/>
      <c r="D32" s="1798"/>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3">
      <c r="A33" s="1768" t="s">
        <v>834</v>
      </c>
      <c r="B33" s="1778" t="s">
        <v>1174</v>
      </c>
      <c r="C33" s="1774" t="s">
        <v>1338</v>
      </c>
      <c r="D33" s="1794" t="s">
        <v>1337</v>
      </c>
      <c r="E33" s="74"/>
      <c r="F33" s="74"/>
      <c r="G33" s="1770" t="s">
        <v>834</v>
      </c>
      <c r="H33" s="1764" t="s">
        <v>1174</v>
      </c>
      <c r="I33" s="1805" t="s">
        <v>488</v>
      </c>
      <c r="J33" s="1806"/>
      <c r="K33" s="1805" t="s">
        <v>489</v>
      </c>
      <c r="L33" s="1806"/>
      <c r="M33" s="1805" t="s">
        <v>490</v>
      </c>
      <c r="N33" s="1806"/>
      <c r="O33" s="1805" t="s">
        <v>491</v>
      </c>
      <c r="P33" s="1806"/>
      <c r="Q33" s="1805" t="s">
        <v>805</v>
      </c>
      <c r="R33" s="1806"/>
      <c r="S33" s="1805" t="s">
        <v>806</v>
      </c>
      <c r="T33" s="1806"/>
      <c r="U33" s="1805" t="s">
        <v>807</v>
      </c>
      <c r="V33" s="1806"/>
      <c r="W33" s="1805" t="s">
        <v>808</v>
      </c>
      <c r="X33" s="1806"/>
      <c r="Y33" s="1805" t="s">
        <v>809</v>
      </c>
      <c r="Z33" s="1806"/>
      <c r="AA33" s="1805" t="s">
        <v>482</v>
      </c>
      <c r="AB33" s="1806"/>
      <c r="AC33" s="1805" t="s">
        <v>486</v>
      </c>
      <c r="AD33" s="1806"/>
      <c r="AE33" s="1805" t="s">
        <v>487</v>
      </c>
      <c r="AF33" s="1806"/>
      <c r="AG33" s="74"/>
      <c r="AH33" s="74"/>
      <c r="AI33" s="74"/>
      <c r="AJ33" s="74"/>
      <c r="AK33" s="74"/>
      <c r="AL33" s="74"/>
      <c r="AM33" s="74"/>
      <c r="AN33" s="74"/>
      <c r="AO33" s="74"/>
      <c r="AP33" s="74"/>
      <c r="AQ33" s="74"/>
      <c r="AR33" s="74"/>
      <c r="AS33" s="74"/>
      <c r="AT33" s="74"/>
      <c r="AU33" s="74"/>
    </row>
    <row r="34" spans="1:55" ht="74.400000000000006" customHeight="1" thickBot="1" x14ac:dyDescent="0.35">
      <c r="A34" s="1769"/>
      <c r="B34" s="1779"/>
      <c r="C34" s="1811"/>
      <c r="D34" s="1810"/>
      <c r="E34" s="74"/>
      <c r="F34" s="74"/>
      <c r="G34" s="1771"/>
      <c r="H34" s="1765"/>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3">
      <c r="A35" s="321" t="s">
        <v>1194</v>
      </c>
      <c r="B35" s="322" t="s">
        <v>842</v>
      </c>
      <c r="C35" s="323">
        <f>'Расчет базового уровня'!D35</f>
        <v>1249165.921475308</v>
      </c>
      <c r="D35" s="324">
        <f>D38+D62+D65+D68-D71</f>
        <v>511774.91944001598</v>
      </c>
      <c r="E35" s="74"/>
      <c r="F35" s="74"/>
      <c r="G35" s="325" t="s">
        <v>1192</v>
      </c>
      <c r="H35" s="326" t="s">
        <v>842</v>
      </c>
      <c r="I35" s="323">
        <f>'Расчет базового уровня'!J35</f>
        <v>230240.41139699999</v>
      </c>
      <c r="J35" s="327">
        <f>J38+J62+J65+J68-J71</f>
        <v>110416.35502344079</v>
      </c>
      <c r="K35" s="323">
        <f>'Расчет базового уровня'!M35</f>
        <v>181919.08605399998</v>
      </c>
      <c r="L35" s="328">
        <f>L38+L62+L65+L68-L71</f>
        <v>92360.766509107183</v>
      </c>
      <c r="M35" s="323">
        <f>'Расчет базового уровня'!P35</f>
        <v>198451.83815799997</v>
      </c>
      <c r="N35" s="327">
        <f>N38+N62+N65+N68-N71</f>
        <v>76521.833981690608</v>
      </c>
      <c r="O35" s="323">
        <f>'Расчет базового уровня'!S35</f>
        <v>116800.58311200001</v>
      </c>
      <c r="P35" s="328">
        <f>P38+P62+P65+P68-P71</f>
        <v>23359.548280757423</v>
      </c>
      <c r="Q35" s="323">
        <f>'Расчет базового уровня'!V35</f>
        <v>8947.9149859999961</v>
      </c>
      <c r="R35" s="327">
        <f>R38+R62+R65+R68-R71</f>
        <v>0</v>
      </c>
      <c r="S35" s="323">
        <f>'Расчет базового уровня'!Y35</f>
        <v>7391.1185340000011</v>
      </c>
      <c r="T35" s="327">
        <f>T38+T62+T65+T68-T71</f>
        <v>0</v>
      </c>
      <c r="U35" s="323">
        <f>'Расчет базового уровня'!AB35</f>
        <v>11018.681843000002</v>
      </c>
      <c r="V35" s="327">
        <f>V38+V62+V65+V68-V71</f>
        <v>0</v>
      </c>
      <c r="W35" s="323">
        <f>'Расчет базового уровня'!AE35</f>
        <v>16032.716764999997</v>
      </c>
      <c r="X35" s="327">
        <f>X38+X62+X65+X68-X71</f>
        <v>0</v>
      </c>
      <c r="Y35" s="323">
        <f>'Расчет базового уровня'!AH35</f>
        <v>14124.320989999998</v>
      </c>
      <c r="Z35" s="327">
        <f>Z38+Z62+Z65+Z68-Z71</f>
        <v>0</v>
      </c>
      <c r="AA35" s="323">
        <f>'Расчет базового уровня'!AK35</f>
        <v>67415.717529000001</v>
      </c>
      <c r="AB35" s="327">
        <f>AB38+AB62+AB65+AB68-AB71</f>
        <v>34565.565968626397</v>
      </c>
      <c r="AC35" s="323">
        <f>'Расчет базового уровня'!AN35</f>
        <v>203465.60559000002</v>
      </c>
      <c r="AD35" s="327">
        <f>AD38+AD62+AD65+AD68-AD71</f>
        <v>74660.81641672118</v>
      </c>
      <c r="AE35" s="323">
        <f>'Расчет базового уровня'!AQ35</f>
        <v>194593.26118100001</v>
      </c>
      <c r="AF35" s="327">
        <f>AF38+AF62+AF65+AF68-AF71</f>
        <v>84053.949768746184</v>
      </c>
      <c r="AG35" s="74"/>
      <c r="AH35" s="74"/>
      <c r="AI35" s="74"/>
      <c r="AJ35" s="74"/>
      <c r="AK35" s="74"/>
      <c r="AL35" s="74"/>
      <c r="AM35" s="74"/>
      <c r="AN35" s="74"/>
      <c r="AO35" s="74"/>
      <c r="AP35" s="74"/>
      <c r="AQ35" s="74"/>
      <c r="AR35" s="74"/>
      <c r="AS35" s="74"/>
      <c r="AT35" s="74"/>
      <c r="AU35" s="74"/>
    </row>
    <row r="36" spans="1:55" ht="11.25" customHeight="1" x14ac:dyDescent="0.3">
      <c r="A36" s="307" t="s">
        <v>1339</v>
      </c>
      <c r="B36" s="304" t="s">
        <v>842</v>
      </c>
      <c r="C36" s="308"/>
      <c r="D36" s="308">
        <f>C35-D35</f>
        <v>737391.0020352921</v>
      </c>
      <c r="E36" s="74"/>
      <c r="F36" s="74"/>
      <c r="G36" s="307" t="s">
        <v>1339</v>
      </c>
      <c r="H36" s="304" t="s">
        <v>842</v>
      </c>
      <c r="I36" s="308"/>
      <c r="J36" s="308">
        <f>I35-J35</f>
        <v>119824.0563735592</v>
      </c>
      <c r="K36" s="308"/>
      <c r="L36" s="308">
        <f>K35-L35</f>
        <v>89558.319544892802</v>
      </c>
      <c r="M36" s="308"/>
      <c r="N36" s="308">
        <f>M35-N35</f>
        <v>121930.00417630936</v>
      </c>
      <c r="O36" s="308"/>
      <c r="P36" s="308">
        <f>O35-P35</f>
        <v>93441.034831242578</v>
      </c>
      <c r="Q36" s="308"/>
      <c r="R36" s="308">
        <f>Q35-R35</f>
        <v>8947.9149859999961</v>
      </c>
      <c r="S36" s="308"/>
      <c r="T36" s="308">
        <f>S35-T35</f>
        <v>7391.1185340000011</v>
      </c>
      <c r="U36" s="308"/>
      <c r="V36" s="308">
        <f>U35-V35</f>
        <v>11018.681843000002</v>
      </c>
      <c r="W36" s="308"/>
      <c r="X36" s="308">
        <f>W35-X35</f>
        <v>16032.716764999997</v>
      </c>
      <c r="Y36" s="308"/>
      <c r="Z36" s="308">
        <f>Y35-Z35</f>
        <v>14124.320989999998</v>
      </c>
      <c r="AA36" s="308"/>
      <c r="AB36" s="308">
        <f>AA35-AB35</f>
        <v>32850.151560373604</v>
      </c>
      <c r="AC36" s="308"/>
      <c r="AD36" s="308">
        <f>AC35-AD35</f>
        <v>128804.78917327884</v>
      </c>
      <c r="AE36" s="308"/>
      <c r="AF36" s="308">
        <f>AE35-AF35</f>
        <v>110539.31141225382</v>
      </c>
      <c r="AG36" s="74"/>
      <c r="AH36" s="74"/>
      <c r="AI36" s="74"/>
      <c r="AJ36" s="74"/>
      <c r="AK36" s="74"/>
      <c r="AL36" s="74"/>
      <c r="AM36" s="74"/>
      <c r="AN36" s="74"/>
      <c r="AO36" s="74"/>
      <c r="AP36" s="74"/>
      <c r="AQ36" s="74"/>
      <c r="AR36" s="74"/>
      <c r="AS36" s="74"/>
      <c r="AT36" s="74"/>
      <c r="AU36" s="74"/>
    </row>
    <row r="37" spans="1:55" ht="15" thickBot="1" x14ac:dyDescent="0.35">
      <c r="A37" s="307" t="s">
        <v>874</v>
      </c>
      <c r="B37" s="309" t="s">
        <v>1181</v>
      </c>
      <c r="C37" s="310"/>
      <c r="D37" s="310">
        <f>IF(C35=0,0,D36/C35)</f>
        <v>0.59030669133561364</v>
      </c>
      <c r="E37" s="74"/>
      <c r="F37" s="74"/>
      <c r="G37" s="307" t="s">
        <v>874</v>
      </c>
      <c r="H37" s="309" t="s">
        <v>1181</v>
      </c>
      <c r="I37" s="310"/>
      <c r="J37" s="310">
        <f>IF(I35=0,0,J36/I35)</f>
        <v>0.5204301696931406</v>
      </c>
      <c r="K37" s="310"/>
      <c r="L37" s="310">
        <f>IF(K35=0,0,L36/K35)</f>
        <v>0.49229754550497656</v>
      </c>
      <c r="M37" s="310"/>
      <c r="N37" s="310">
        <f>IF(M35=0,0,N36/M35)</f>
        <v>0.61440602066498995</v>
      </c>
      <c r="O37" s="310"/>
      <c r="P37" s="310">
        <f>IF(O35=0,0,P36/O35)</f>
        <v>0.8000048659144281</v>
      </c>
      <c r="Q37" s="310"/>
      <c r="R37" s="310">
        <f>IF(Q35=0,0,R36/Q35)</f>
        <v>1</v>
      </c>
      <c r="S37" s="310"/>
      <c r="T37" s="310">
        <f>IF(S35=0,0,T36/S35)</f>
        <v>1</v>
      </c>
      <c r="U37" s="310"/>
      <c r="V37" s="310">
        <f>IF(U35=0,0,V36/U35)</f>
        <v>1</v>
      </c>
      <c r="W37" s="310"/>
      <c r="X37" s="310">
        <f>IF(W35=0,0,X36/W35)</f>
        <v>1</v>
      </c>
      <c r="Y37" s="310"/>
      <c r="Z37" s="310">
        <f>IF(Y35=0,0,Z36/Y35)</f>
        <v>1</v>
      </c>
      <c r="AA37" s="310"/>
      <c r="AB37" s="310">
        <f>IF(AA35=0,0,AB36/AA35)</f>
        <v>0.48727734072165829</v>
      </c>
      <c r="AC37" s="310"/>
      <c r="AD37" s="310">
        <f>IF(AC35=0,0,AD36/AC35)</f>
        <v>0.6330543621845901</v>
      </c>
      <c r="AE37" s="310"/>
      <c r="AF37" s="310">
        <f>IF(AE35=0,0,AF36/AE35)</f>
        <v>0.56805313165205762</v>
      </c>
      <c r="AG37" s="74"/>
      <c r="AH37" s="74"/>
      <c r="AI37" s="74"/>
      <c r="AJ37" s="74"/>
      <c r="AK37" s="74"/>
      <c r="AL37" s="74"/>
      <c r="AM37" s="74"/>
      <c r="AN37" s="74"/>
      <c r="AO37" s="74"/>
      <c r="AP37" s="74"/>
      <c r="AQ37" s="74"/>
      <c r="AR37" s="74"/>
      <c r="AS37" s="74"/>
      <c r="AT37" s="74"/>
      <c r="AU37" s="74"/>
    </row>
    <row r="38" spans="1:55" ht="29.25" customHeight="1" x14ac:dyDescent="0.3">
      <c r="A38" s="329" t="s">
        <v>1195</v>
      </c>
      <c r="B38" s="322" t="s">
        <v>842</v>
      </c>
      <c r="C38" s="323">
        <f>'Расчет базового уровня'!D38</f>
        <v>978562.01995365869</v>
      </c>
      <c r="D38" s="330">
        <f>D41+D44+D47+D50+D53+D56+D59</f>
        <v>396615.7317759007</v>
      </c>
      <c r="E38" s="74"/>
      <c r="F38" s="74"/>
      <c r="G38" s="325" t="s">
        <v>1196</v>
      </c>
      <c r="H38" s="331" t="s">
        <v>842</v>
      </c>
      <c r="I38" s="323">
        <f>'Расчет базового уровня'!J38</f>
        <v>179785.3628471464</v>
      </c>
      <c r="J38" s="330">
        <f>J41+J44+J47+J50+J53+J56+J59</f>
        <v>80893.639793113922</v>
      </c>
      <c r="K38" s="323">
        <f>'Расчет базового уровня'!M38</f>
        <v>145256.58217617005</v>
      </c>
      <c r="L38" s="330">
        <f>L41+L44+L47+L50+L53+L56+L59</f>
        <v>68688.043778544205</v>
      </c>
      <c r="M38" s="323">
        <f>'Расчет базового уровня'!P38</f>
        <v>156111.30555168787</v>
      </c>
      <c r="N38" s="330">
        <f>N41+N44+N47+N50+N53+N56+N59</f>
        <v>60763.425282385142</v>
      </c>
      <c r="O38" s="323">
        <f>'Расчет базового уровня'!S38</f>
        <v>87547.43623265432</v>
      </c>
      <c r="P38" s="330">
        <f>P41+P44+P47+P50+P53+P56+P59</f>
        <v>21284.635414569897</v>
      </c>
      <c r="Q38" s="323">
        <f>'Расчет базового уровня'!V38</f>
        <v>0</v>
      </c>
      <c r="R38" s="330">
        <f>R41+R44+R47+R50+R53+R56+R59</f>
        <v>0</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0</v>
      </c>
      <c r="Z38" s="330">
        <f>Z41+Z44+Z47+Z50+Z53+Z56+Z59</f>
        <v>0</v>
      </c>
      <c r="AA38" s="323">
        <f>'Расчет базового уровня'!AK38</f>
        <v>59779.425365148018</v>
      </c>
      <c r="AB38" s="330">
        <f>AB41+AB44+AB47+AB50+AB53+AB56+AB59</f>
        <v>33183.411182348616</v>
      </c>
      <c r="AC38" s="323">
        <f>'Расчет базового уровня'!AN38</f>
        <v>156496.60523438363</v>
      </c>
      <c r="AD38" s="330">
        <f>AD41+AD44+AD47+AD50+AD53+AD56+AD59</f>
        <v>59164.071321855306</v>
      </c>
      <c r="AE38" s="323">
        <f>'Расчет базового уровня'!AQ38</f>
        <v>155470.44587324266</v>
      </c>
      <c r="AF38" s="330">
        <f>AF41+AF44+AF47+AF50+AF53+AF56+AF59</f>
        <v>65236.806284769307</v>
      </c>
      <c r="AG38" s="74"/>
      <c r="AH38" s="74"/>
      <c r="AI38" s="74"/>
      <c r="AJ38" s="74"/>
      <c r="AK38" s="74"/>
      <c r="AL38" s="74"/>
      <c r="AM38" s="74"/>
      <c r="AN38" s="74"/>
      <c r="AO38" s="74"/>
      <c r="AP38" s="74"/>
      <c r="AQ38" s="74"/>
      <c r="AR38" s="74"/>
      <c r="AS38" s="74"/>
      <c r="AT38" s="74"/>
      <c r="AU38" s="74"/>
    </row>
    <row r="39" spans="1:55" x14ac:dyDescent="0.3">
      <c r="A39" s="307" t="s">
        <v>1339</v>
      </c>
      <c r="B39" s="304" t="s">
        <v>842</v>
      </c>
      <c r="C39" s="308"/>
      <c r="D39" s="308">
        <f>C38-D38</f>
        <v>581946.28817775799</v>
      </c>
      <c r="E39" s="74"/>
      <c r="F39" s="74"/>
      <c r="G39" s="307" t="s">
        <v>1339</v>
      </c>
      <c r="H39" s="304" t="s">
        <v>842</v>
      </c>
      <c r="I39" s="308"/>
      <c r="J39" s="308">
        <f>I38-J38</f>
        <v>98891.723054032482</v>
      </c>
      <c r="K39" s="308"/>
      <c r="L39" s="308">
        <f>K38-L38</f>
        <v>76568.538397625845</v>
      </c>
      <c r="M39" s="308"/>
      <c r="N39" s="308">
        <f>M38-N38</f>
        <v>95347.880269302725</v>
      </c>
      <c r="O39" s="308"/>
      <c r="P39" s="308">
        <f>O38-P38</f>
        <v>66262.800818084419</v>
      </c>
      <c r="Q39" s="308"/>
      <c r="R39" s="308">
        <f>Q38-R38</f>
        <v>0</v>
      </c>
      <c r="S39" s="308"/>
      <c r="T39" s="308">
        <f>S38-T38</f>
        <v>0</v>
      </c>
      <c r="U39" s="308"/>
      <c r="V39" s="308">
        <f>U38-V38</f>
        <v>0</v>
      </c>
      <c r="W39" s="308"/>
      <c r="X39" s="308">
        <f>W38-X38</f>
        <v>0</v>
      </c>
      <c r="Y39" s="308"/>
      <c r="Z39" s="308">
        <f>Y38-Z38</f>
        <v>0</v>
      </c>
      <c r="AA39" s="308"/>
      <c r="AB39" s="308">
        <f>AA38-AB38</f>
        <v>26596.014182799401</v>
      </c>
      <c r="AC39" s="308"/>
      <c r="AD39" s="308">
        <f>AC38-AD38</f>
        <v>97332.533912528335</v>
      </c>
      <c r="AE39" s="308"/>
      <c r="AF39" s="308">
        <f>AE38-AF38</f>
        <v>90233.63958847335</v>
      </c>
      <c r="AG39" s="74"/>
      <c r="AH39" s="74"/>
      <c r="AI39" s="74"/>
      <c r="AJ39" s="74"/>
      <c r="AK39" s="74"/>
      <c r="AL39" s="74"/>
      <c r="AM39" s="74"/>
      <c r="AN39" s="74"/>
      <c r="AO39" s="74"/>
      <c r="AP39" s="74"/>
      <c r="AQ39" s="74"/>
      <c r="AR39" s="74"/>
      <c r="AS39" s="74"/>
      <c r="AT39" s="74"/>
      <c r="AU39" s="74"/>
    </row>
    <row r="40" spans="1:55" ht="15" thickBot="1" x14ac:dyDescent="0.35">
      <c r="A40" s="307" t="s">
        <v>874</v>
      </c>
      <c r="B40" s="309" t="s">
        <v>1181</v>
      </c>
      <c r="C40" s="310"/>
      <c r="D40" s="310">
        <f>IF(C38=0,0,D39/C38)</f>
        <v>0.59469535533917095</v>
      </c>
      <c r="E40" s="74"/>
      <c r="F40" s="74"/>
      <c r="G40" s="307" t="s">
        <v>874</v>
      </c>
      <c r="H40" s="309" t="s">
        <v>1181</v>
      </c>
      <c r="I40" s="310"/>
      <c r="J40" s="310">
        <f>IF(I38=0,0,J39/I38)</f>
        <v>0.5500543619789019</v>
      </c>
      <c r="K40" s="310"/>
      <c r="L40" s="310">
        <f>IF(K38=0,0,L39/K38)</f>
        <v>0.52712611883406435</v>
      </c>
      <c r="M40" s="310"/>
      <c r="N40" s="310">
        <f>IF(M38=0,0,N39/M38)</f>
        <v>0.61076857907471283</v>
      </c>
      <c r="O40" s="310"/>
      <c r="P40" s="310">
        <f>IF(O38=0,0,P39/O38)</f>
        <v>0.7568788267196459</v>
      </c>
      <c r="Q40" s="310"/>
      <c r="R40" s="310">
        <f>IF(Q38=0,0,R39/Q38)</f>
        <v>0</v>
      </c>
      <c r="S40" s="310"/>
      <c r="T40" s="310">
        <f>IF(S38=0,0,T39/S38)</f>
        <v>0</v>
      </c>
      <c r="U40" s="310"/>
      <c r="V40" s="310">
        <f>IF(U38=0,0,V39/U38)</f>
        <v>0</v>
      </c>
      <c r="W40" s="310"/>
      <c r="X40" s="310">
        <f>IF(W38=0,0,X39/W38)</f>
        <v>0</v>
      </c>
      <c r="Y40" s="310"/>
      <c r="Z40" s="310">
        <f>IF(Y38=0,0,Z39/Y38)</f>
        <v>0</v>
      </c>
      <c r="AA40" s="310"/>
      <c r="AB40" s="310">
        <f>IF(AA38=0,0,AB39/AA38)</f>
        <v>0.4449024730556399</v>
      </c>
      <c r="AC40" s="310"/>
      <c r="AD40" s="310">
        <f>IF(AC38=0,0,AD39/AC38)</f>
        <v>0.6219466151789953</v>
      </c>
      <c r="AE40" s="310"/>
      <c r="AF40" s="310">
        <f>IF(AE38=0,0,AF39/AE38)</f>
        <v>0.58039094878548281</v>
      </c>
      <c r="AG40" s="74"/>
      <c r="AH40" s="74"/>
      <c r="AI40" s="74"/>
      <c r="AJ40" s="74"/>
      <c r="AK40" s="74"/>
      <c r="AL40" s="74"/>
      <c r="AM40" s="74"/>
      <c r="AN40" s="74"/>
      <c r="AO40" s="74"/>
      <c r="AP40" s="74"/>
      <c r="AQ40" s="74"/>
      <c r="AR40" s="74"/>
      <c r="AS40" s="74"/>
      <c r="AT40" s="74"/>
      <c r="AU40" s="74"/>
    </row>
    <row r="41" spans="1:55" ht="15.75" customHeight="1" x14ac:dyDescent="0.3">
      <c r="A41" s="332" t="s">
        <v>1197</v>
      </c>
      <c r="B41" s="322" t="s">
        <v>842</v>
      </c>
      <c r="C41" s="323">
        <f>'Расчет базового уровня'!D41</f>
        <v>502366.09937437053</v>
      </c>
      <c r="D41" s="333">
        <f>IF(IF(C134=0,0,B134/C134*D134)*0.024*$D$147*(1-D163)&gt;C41,C41,IF(C134=0,0,B134/C134*D134)*0.024*$D$147*(1-D163))</f>
        <v>39999.144741274707</v>
      </c>
      <c r="E41" s="74"/>
      <c r="F41" s="74"/>
      <c r="G41" s="334" t="s">
        <v>1197</v>
      </c>
      <c r="H41" s="326" t="s">
        <v>842</v>
      </c>
      <c r="I41" s="323">
        <f>'Расчет базового уровня'!J41</f>
        <v>92296.726846606995</v>
      </c>
      <c r="J41" s="335">
        <f>IF($C134=0,0,MIN($B134/$C134*$D134*0.024*$G$147,I41))</f>
        <v>8158.2149861911021</v>
      </c>
      <c r="K41" s="323">
        <f>'Расчет базового уровня'!M41</f>
        <v>74570.626192656622</v>
      </c>
      <c r="L41" s="335">
        <f>IF($C134=0,0,MIN($B134/$C134*$D134*0.024*$H$147,K41))</f>
        <v>6927.2668353089903</v>
      </c>
      <c r="M41" s="323">
        <f>'Расчет базового уровня'!P41</f>
        <v>80143.134557742073</v>
      </c>
      <c r="N41" s="335">
        <f>IF($C134=0,0,MIN($B134/$C134*$D134*0.024*$I$147,M41))</f>
        <v>6128.0601048347917</v>
      </c>
      <c r="O41" s="323">
        <f>'Расчет базового уровня'!S41</f>
        <v>44944.380788974187</v>
      </c>
      <c r="P41" s="335">
        <f>IF($C134=0,0,MIN($B134/$C134*$D134*0.024*$J$147,O41))</f>
        <v>2146.5795340505802</v>
      </c>
      <c r="Q41" s="323">
        <f>'Расчет базового уровня'!V41</f>
        <v>0</v>
      </c>
      <c r="R41" s="335">
        <f>IF($C134=0,0,MIN($B134/$C134*$D134*0.024*$K$147,Q41))</f>
        <v>0</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0</v>
      </c>
      <c r="Z41" s="335">
        <f>IF($C134=0,0,MIN($B134/$C134*$D134*0.024*$O$147,Y41))</f>
        <v>0</v>
      </c>
      <c r="AA41" s="323">
        <f>'Расчет базового уровня'!AK41</f>
        <v>30689.068379082284</v>
      </c>
      <c r="AB41" s="335">
        <f>IF($C134=0,0,MIN($B134/$C134*$D134*0.024*$P$147,AA41))</f>
        <v>4093.0541962828856</v>
      </c>
      <c r="AC41" s="323">
        <f>'Расчет базового уровня'!AN41</f>
        <v>80340.936531187996</v>
      </c>
      <c r="AD41" s="335">
        <f>IF($C134=0,0,MIN($B134/$C134*$D134*0.024*$Q$147,AC41))</f>
        <v>5966.763450581273</v>
      </c>
      <c r="AE41" s="323">
        <f>'Расчет базового уровня'!AQ41</f>
        <v>79814.135301341259</v>
      </c>
      <c r="AF41" s="335">
        <f>IF($C134=0,0,MIN($B134/$C134*$D134*0.024*$R$147,AE41))</f>
        <v>6579.2056340250829</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3">
      <c r="A42" s="307" t="s">
        <v>1339</v>
      </c>
      <c r="B42" s="304" t="s">
        <v>842</v>
      </c>
      <c r="C42" s="308"/>
      <c r="D42" s="308">
        <f>C41-D41</f>
        <v>462366.95463309583</v>
      </c>
      <c r="E42" s="74"/>
      <c r="F42" s="74"/>
      <c r="G42" s="307" t="s">
        <v>1339</v>
      </c>
      <c r="H42" s="304" t="s">
        <v>842</v>
      </c>
      <c r="I42" s="308"/>
      <c r="J42" s="308">
        <f>I41-J41</f>
        <v>84138.511860415892</v>
      </c>
      <c r="K42" s="308"/>
      <c r="L42" s="308">
        <f>K41-L41</f>
        <v>67643.359357347625</v>
      </c>
      <c r="M42" s="308"/>
      <c r="N42" s="308">
        <f>M41-N41</f>
        <v>74015.074452907284</v>
      </c>
      <c r="O42" s="308"/>
      <c r="P42" s="308">
        <f>O41-P41</f>
        <v>42797.801254923608</v>
      </c>
      <c r="Q42" s="308"/>
      <c r="R42" s="308">
        <f>Q41-R41</f>
        <v>0</v>
      </c>
      <c r="S42" s="308"/>
      <c r="T42" s="308">
        <f>S41-T41</f>
        <v>0</v>
      </c>
      <c r="U42" s="308"/>
      <c r="V42" s="308">
        <f>U41-V41</f>
        <v>0</v>
      </c>
      <c r="W42" s="308"/>
      <c r="X42" s="308">
        <f>W41-X41</f>
        <v>0</v>
      </c>
      <c r="Y42" s="308"/>
      <c r="Z42" s="308">
        <f>Y41-Z41</f>
        <v>0</v>
      </c>
      <c r="AA42" s="308"/>
      <c r="AB42" s="308">
        <f>AA41-AB41</f>
        <v>26596.014182799398</v>
      </c>
      <c r="AC42" s="308"/>
      <c r="AD42" s="308">
        <f>AC41-AD41</f>
        <v>74374.173080606721</v>
      </c>
      <c r="AE42" s="308"/>
      <c r="AF42" s="308">
        <f>AE41-AF41</f>
        <v>73234.929667316173</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 thickBot="1" x14ac:dyDescent="0.35">
      <c r="A43" s="307" t="s">
        <v>874</v>
      </c>
      <c r="B43" s="309" t="s">
        <v>1181</v>
      </c>
      <c r="C43" s="310"/>
      <c r="D43" s="310">
        <f>IF(C41=0,0,D42/C41)</f>
        <v>0.92037849530235372</v>
      </c>
      <c r="E43" s="74"/>
      <c r="F43" s="74"/>
      <c r="G43" s="307" t="s">
        <v>874</v>
      </c>
      <c r="H43" s="309" t="s">
        <v>1181</v>
      </c>
      <c r="I43" s="310"/>
      <c r="J43" s="310">
        <f>IF(I41=0,0,J42/I41)</f>
        <v>0.91160883744285226</v>
      </c>
      <c r="K43" s="310"/>
      <c r="L43" s="310">
        <f>IF(K41=0,0,L42/K41)</f>
        <v>0.90710461760892169</v>
      </c>
      <c r="M43" s="310"/>
      <c r="N43" s="310">
        <f>IF(M41=0,0,N42/M41)</f>
        <v>0.92353605659858984</v>
      </c>
      <c r="O43" s="310"/>
      <c r="P43" s="310">
        <f>IF(O41=0,0,P42/O41)</f>
        <v>0.95223920106655069</v>
      </c>
      <c r="Q43" s="310"/>
      <c r="R43" s="310">
        <f>IF(Q41=0,0,R42/Q41)</f>
        <v>0</v>
      </c>
      <c r="S43" s="310"/>
      <c r="T43" s="310">
        <f>IF(S41=0,0,T42/S41)</f>
        <v>0</v>
      </c>
      <c r="U43" s="310"/>
      <c r="V43" s="310">
        <f>IF(U41=0,0,V42/U41)</f>
        <v>0</v>
      </c>
      <c r="W43" s="310"/>
      <c r="X43" s="310">
        <f>IF(W41=0,0,X42/W41)</f>
        <v>0</v>
      </c>
      <c r="Y43" s="310"/>
      <c r="Z43" s="310">
        <f>IF(Y41=0,0,Z42/Y41)</f>
        <v>0</v>
      </c>
      <c r="AA43" s="310"/>
      <c r="AB43" s="310">
        <f>IF(AA41=0,0,AB42/AA41)</f>
        <v>0.86662826822489281</v>
      </c>
      <c r="AC43" s="310"/>
      <c r="AD43" s="310">
        <f>IF(AC41=0,0,AD42/AC41)</f>
        <v>0.92573196544373115</v>
      </c>
      <c r="AE43" s="310"/>
      <c r="AF43" s="310">
        <f>IF(AE41=0,0,AF42/AE41)</f>
        <v>0.91756841555465019</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3">
      <c r="A44" s="332" t="s">
        <v>1199</v>
      </c>
      <c r="B44" s="322" t="s">
        <v>842</v>
      </c>
      <c r="C44" s="323">
        <f>'Расчет базового уровня'!D44</f>
        <v>213221.12406623873</v>
      </c>
      <c r="D44" s="333">
        <f>IF(IF(C135=0,0,B135/C135*D135)*0.024*$D$147&gt;C44,C44,IF(C135=0,0,B135/C135*D135)*0.024*$D$147)</f>
        <v>159678.37241379311</v>
      </c>
      <c r="E44" s="74"/>
      <c r="F44" s="74"/>
      <c r="G44" s="334" t="s">
        <v>1199</v>
      </c>
      <c r="H44" s="326" t="s">
        <v>842</v>
      </c>
      <c r="I44" s="323">
        <f>'Расчет базового уровня'!J44</f>
        <v>39173.845270165417</v>
      </c>
      <c r="J44" s="335">
        <f>IF($C135=0,0,MIN($B135/$C135*$D135*0.024*$G$147,I44))</f>
        <v>32567.958620689653</v>
      </c>
      <c r="K44" s="323">
        <f>'Расчет базового уровня'!M44</f>
        <v>31650.290015434766</v>
      </c>
      <c r="L44" s="335">
        <f>IF($C135=0,0,MIN($B135/$C135*$D135*0.024*$H$147,K44))</f>
        <v>27653.958620689653</v>
      </c>
      <c r="M44" s="323">
        <f>'Расчет базового уровня'!P44</f>
        <v>34015.450600418008</v>
      </c>
      <c r="N44" s="335">
        <f>IF($C135=0,0,MIN($B135/$C135*$D135*0.024*$I$147,M44))</f>
        <v>24463.489655172416</v>
      </c>
      <c r="O44" s="323">
        <f>'Расчет базового уровня'!S44</f>
        <v>19075.911778721918</v>
      </c>
      <c r="P44" s="335">
        <f>IF($C135=0,0,MIN($B135/$C135*$D135*0.024*$J$147,O44))</f>
        <v>8569.241379310346</v>
      </c>
      <c r="Q44" s="323">
        <f>'Расчет базового уровня'!V44</f>
        <v>0</v>
      </c>
      <c r="R44" s="335">
        <f>IF($C135=0,0,MIN($B135/$C135*$D135*0.024*$K$147,Q44))</f>
        <v>0</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0</v>
      </c>
      <c r="Z44" s="335">
        <f>IF($C135=0,0,MIN($B135/$C135*$D135*0.024*$O$147,Y44))</f>
        <v>0</v>
      </c>
      <c r="AA44" s="323">
        <f>'Расчет базового уровня'!AK44</f>
        <v>13025.476170630762</v>
      </c>
      <c r="AB44" s="335">
        <f>IF($C135=0,0,MIN($B135/$C135*$D135*0.024*$P$147,AA44))</f>
        <v>13025.476170630762</v>
      </c>
      <c r="AC44" s="323">
        <f>'Расчет базового уровня'!AN44</f>
        <v>34099.404432440482</v>
      </c>
      <c r="AD44" s="335">
        <f>IF($C135=0,0,MIN($B135/$C135*$D135*0.024*$Q$147,AC44))</f>
        <v>23819.586206896551</v>
      </c>
      <c r="AE44" s="323">
        <f>'Расчет базового уровня'!AQ44</f>
        <v>33875.812214479753</v>
      </c>
      <c r="AF44" s="335">
        <f>IF($C135=0,0,MIN($B135/$C135*$D135*0.024*$R$147,AE44))</f>
        <v>26264.482758620692</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3">
      <c r="A45" s="307" t="s">
        <v>1339</v>
      </c>
      <c r="B45" s="304" t="s">
        <v>842</v>
      </c>
      <c r="C45" s="308"/>
      <c r="D45" s="308">
        <f>C44-D44</f>
        <v>53542.751652445615</v>
      </c>
      <c r="E45" s="74"/>
      <c r="F45" s="74"/>
      <c r="G45" s="307" t="s">
        <v>1339</v>
      </c>
      <c r="H45" s="304" t="s">
        <v>842</v>
      </c>
      <c r="I45" s="308"/>
      <c r="J45" s="308">
        <f>I44-J44</f>
        <v>6605.886649475764</v>
      </c>
      <c r="K45" s="308"/>
      <c r="L45" s="308">
        <f>K44-L44</f>
        <v>3996.3313947451134</v>
      </c>
      <c r="M45" s="308"/>
      <c r="N45" s="308">
        <f>M44-N44</f>
        <v>9551.9609452455916</v>
      </c>
      <c r="O45" s="308"/>
      <c r="P45" s="308">
        <f>O44-P44</f>
        <v>10506.670399411572</v>
      </c>
      <c r="Q45" s="308"/>
      <c r="R45" s="308">
        <f>Q44-R44</f>
        <v>0</v>
      </c>
      <c r="S45" s="308"/>
      <c r="T45" s="308">
        <f>S44-T44</f>
        <v>0</v>
      </c>
      <c r="U45" s="308"/>
      <c r="V45" s="308">
        <f>U44-V44</f>
        <v>0</v>
      </c>
      <c r="W45" s="308"/>
      <c r="X45" s="308">
        <f>W44-X44</f>
        <v>0</v>
      </c>
      <c r="Y45" s="308"/>
      <c r="Z45" s="308">
        <f>Y44-Z44</f>
        <v>0</v>
      </c>
      <c r="AA45" s="308"/>
      <c r="AB45" s="308">
        <f>AA44-AB44</f>
        <v>0</v>
      </c>
      <c r="AC45" s="308"/>
      <c r="AD45" s="308">
        <f>AC44-AD44</f>
        <v>10279.818225543931</v>
      </c>
      <c r="AE45" s="308"/>
      <c r="AF45" s="308">
        <f>AE44-AF44</f>
        <v>7611.3294558590605</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5">
      <c r="A46" s="307" t="s">
        <v>874</v>
      </c>
      <c r="B46" s="309" t="s">
        <v>1181</v>
      </c>
      <c r="C46" s="310"/>
      <c r="D46" s="310">
        <f>IF(C44=0,0,D45/C44)</f>
        <v>0.25111372940615473</v>
      </c>
      <c r="E46" s="74"/>
      <c r="F46" s="74"/>
      <c r="G46" s="307" t="s">
        <v>874</v>
      </c>
      <c r="H46" s="309" t="s">
        <v>1181</v>
      </c>
      <c r="I46" s="310"/>
      <c r="J46" s="310">
        <f>IF(I44=0,0,J45/I44)</f>
        <v>0.16863002863052534</v>
      </c>
      <c r="K46" s="310"/>
      <c r="L46" s="310">
        <f>IF(K44=0,0,L45/K44)</f>
        <v>0.12626523778443227</v>
      </c>
      <c r="M46" s="310"/>
      <c r="N46" s="310">
        <f>IF(M44=0,0,N45/M44)</f>
        <v>0.2808124183757898</v>
      </c>
      <c r="O46" s="310"/>
      <c r="P46" s="310">
        <f>IF(O44=0,0,P45/O44)</f>
        <v>0.55078208167911313</v>
      </c>
      <c r="Q46" s="310"/>
      <c r="R46" s="310">
        <f>IF(Q44=0,0,R45/Q44)</f>
        <v>0</v>
      </c>
      <c r="S46" s="310"/>
      <c r="T46" s="310">
        <f>IF(S44=0,0,T45/S44)</f>
        <v>0</v>
      </c>
      <c r="U46" s="310"/>
      <c r="V46" s="310">
        <f>IF(U44=0,0,V45/U44)</f>
        <v>0</v>
      </c>
      <c r="W46" s="310"/>
      <c r="X46" s="310">
        <f>IF(W44=0,0,X45/W44)</f>
        <v>0</v>
      </c>
      <c r="Y46" s="310"/>
      <c r="Z46" s="310">
        <f>IF(Y44=0,0,Z45/Y44)</f>
        <v>0</v>
      </c>
      <c r="AA46" s="310"/>
      <c r="AB46" s="310">
        <f>IF(AA44=0,0,AB45/AA44)</f>
        <v>0</v>
      </c>
      <c r="AC46" s="310"/>
      <c r="AD46" s="310">
        <f>IF(AC44=0,0,AD45/AC44)</f>
        <v>0.30146621023574893</v>
      </c>
      <c r="AE46" s="310"/>
      <c r="AF46" s="310">
        <f>IF(AE44=0,0,AF45/AE44)</f>
        <v>0.22468330523469196</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3">
      <c r="A47" s="332" t="s">
        <v>1201</v>
      </c>
      <c r="B47" s="322" t="s">
        <v>842</v>
      </c>
      <c r="C47" s="323">
        <f>'Расчет базового уровня'!D47</f>
        <v>26295.361742321351</v>
      </c>
      <c r="D47" s="333">
        <f>IF(IF(C136=0,0,B136/C136*D136)*0.024*$D$147&gt;C47,C47,IF(C136=0,0,B136/C136*D136)*0.024*$D$147)</f>
        <v>18558.18499644128</v>
      </c>
      <c r="E47" s="74"/>
      <c r="F47" s="74"/>
      <c r="G47" s="334" t="s">
        <v>1201</v>
      </c>
      <c r="H47" s="326" t="s">
        <v>842</v>
      </c>
      <c r="I47" s="323">
        <f>'Расчет базового уровня'!J47</f>
        <v>4552.8737333428498</v>
      </c>
      <c r="J47" s="335">
        <f>IF($C136=0,0,MIN($B136/$C136*$D136*0.024*$G$147,I47))</f>
        <v>3785.1225053380776</v>
      </c>
      <c r="K47" s="323">
        <f>'Расчет базового уровня'!M47</f>
        <v>3678.4689649474358</v>
      </c>
      <c r="L47" s="335">
        <f>IF($C136=0,0,MIN($B136/$C136*$D136*0.024*$H$147,K47))</f>
        <v>3214.0062064056933</v>
      </c>
      <c r="M47" s="323">
        <f>'Расчет базового уровня'!P47</f>
        <v>3953.3533279259427</v>
      </c>
      <c r="N47" s="335">
        <f>IF($C136=0,0,MIN($B136/$C136*$D136*0.024*$I$147,M47))</f>
        <v>2843.202619217082</v>
      </c>
      <c r="O47" s="323">
        <f>'Расчет базового уровня'!S47</f>
        <v>2217.0460182792713</v>
      </c>
      <c r="P47" s="335">
        <f>IF($C136=0,0,MIN($B136/$C136*$D136*0.024*$J$147,O47))</f>
        <v>995.93679715302494</v>
      </c>
      <c r="Q47" s="323">
        <f>'Расчет базового уровня'!V47</f>
        <v>0</v>
      </c>
      <c r="R47" s="335">
        <f>IF($C136=0,0,MIN($B136/$C136*$D136*0.024*$K$147,Q47))</f>
        <v>0</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0</v>
      </c>
      <c r="Z47" s="335">
        <f>IF($C136=0,0,MIN($B136/$C136*$D136*0.024*$O$147,Y47))</f>
        <v>0</v>
      </c>
      <c r="AA47" s="323">
        <f>'Расчет базового уровня'!AK47</f>
        <v>1513.8505784295087</v>
      </c>
      <c r="AB47" s="335">
        <f>IF($C136=0,0,MIN($B136/$C136*$D136*0.024*$P$147,AA47))</f>
        <v>1513.8505784295087</v>
      </c>
      <c r="AC47" s="323">
        <f>'Расчет базового уровня'!AN47</f>
        <v>3963.1106339548123</v>
      </c>
      <c r="AD47" s="335">
        <f>IF($C136=0,0,MIN($B136/$C136*$D136*0.024*$Q$147,AC47))</f>
        <v>2768.3666903914586</v>
      </c>
      <c r="AE47" s="323">
        <f>'Расчет базового уровня'!AQ47</f>
        <v>3937.1242359100802</v>
      </c>
      <c r="AF47" s="335">
        <f>IF($C136=0,0,MIN($B136/$C136*$D136*0.024*$R$147,AE47))</f>
        <v>3052.518149466192</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3">
      <c r="A48" s="307" t="s">
        <v>1339</v>
      </c>
      <c r="B48" s="304" t="s">
        <v>842</v>
      </c>
      <c r="C48" s="308"/>
      <c r="D48" s="308">
        <f>C47-D47</f>
        <v>7737.1767458800714</v>
      </c>
      <c r="E48" s="74"/>
      <c r="F48" s="74"/>
      <c r="G48" s="307" t="s">
        <v>1339</v>
      </c>
      <c r="H48" s="304" t="s">
        <v>842</v>
      </c>
      <c r="I48" s="308"/>
      <c r="J48" s="308">
        <f>I47-J47</f>
        <v>767.7512280047722</v>
      </c>
      <c r="K48" s="308"/>
      <c r="L48" s="308">
        <f>K47-L47</f>
        <v>464.46275854174246</v>
      </c>
      <c r="M48" s="308"/>
      <c r="N48" s="308">
        <f>M47-N47</f>
        <v>1110.1507087088607</v>
      </c>
      <c r="O48" s="308"/>
      <c r="P48" s="308">
        <f>O47-P47</f>
        <v>1221.1092211262462</v>
      </c>
      <c r="Q48" s="308"/>
      <c r="R48" s="308">
        <f>Q47-R47</f>
        <v>0</v>
      </c>
      <c r="S48" s="308"/>
      <c r="T48" s="308">
        <f>S47-T47</f>
        <v>0</v>
      </c>
      <c r="U48" s="308"/>
      <c r="V48" s="308">
        <f>U47-V47</f>
        <v>0</v>
      </c>
      <c r="W48" s="308"/>
      <c r="X48" s="308">
        <f>W47-X47</f>
        <v>0</v>
      </c>
      <c r="Y48" s="308"/>
      <c r="Z48" s="308">
        <f>Y47-Z47</f>
        <v>0</v>
      </c>
      <c r="AA48" s="308"/>
      <c r="AB48" s="308">
        <f>AA47-AB47</f>
        <v>0</v>
      </c>
      <c r="AC48" s="308"/>
      <c r="AD48" s="308">
        <f>AC47-AD47</f>
        <v>1194.7439435633537</v>
      </c>
      <c r="AE48" s="308"/>
      <c r="AF48" s="308">
        <f>AE47-AF47</f>
        <v>884.60608644388822</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5">
      <c r="A49" s="307" t="s">
        <v>874</v>
      </c>
      <c r="B49" s="309" t="s">
        <v>1181</v>
      </c>
      <c r="C49" s="310"/>
      <c r="D49" s="310">
        <f>IF(C47=0,0,D48/C47)</f>
        <v>0.29424112213019643</v>
      </c>
      <c r="E49" s="74"/>
      <c r="F49" s="74"/>
      <c r="G49" s="307" t="s">
        <v>874</v>
      </c>
      <c r="H49" s="309" t="s">
        <v>1181</v>
      </c>
      <c r="I49" s="310"/>
      <c r="J49" s="310">
        <f>IF(I47=0,0,J48/I47)</f>
        <v>0.16863002863052548</v>
      </c>
      <c r="K49" s="310"/>
      <c r="L49" s="310">
        <f>IF(K47=0,0,L48/K47)</f>
        <v>0.12626523778443227</v>
      </c>
      <c r="M49" s="310"/>
      <c r="N49" s="310">
        <f>IF(M47=0,0,N48/M47)</f>
        <v>0.2808124183757898</v>
      </c>
      <c r="O49" s="310"/>
      <c r="P49" s="310">
        <f>IF(O47=0,0,P48/O47)</f>
        <v>0.55078208167911313</v>
      </c>
      <c r="Q49" s="310"/>
      <c r="R49" s="310">
        <f>IF(Q47=0,0,R48/Q47)</f>
        <v>0</v>
      </c>
      <c r="S49" s="310"/>
      <c r="T49" s="310">
        <f>IF(S47=0,0,T48/S47)</f>
        <v>0</v>
      </c>
      <c r="U49" s="310"/>
      <c r="V49" s="310">
        <f>IF(U47=0,0,V48/U47)</f>
        <v>0</v>
      </c>
      <c r="W49" s="310"/>
      <c r="X49" s="310">
        <f>IF(W47=0,0,X48/W47)</f>
        <v>0</v>
      </c>
      <c r="Y49" s="310"/>
      <c r="Z49" s="310">
        <f>IF(Y47=0,0,Z48/Y47)</f>
        <v>0</v>
      </c>
      <c r="AA49" s="310"/>
      <c r="AB49" s="310">
        <f>IF(AA47=0,0,AB48/AA47)</f>
        <v>0</v>
      </c>
      <c r="AC49" s="310"/>
      <c r="AD49" s="310">
        <f>IF(AC47=0,0,AD48/AC47)</f>
        <v>0.30146621023574893</v>
      </c>
      <c r="AE49" s="310"/>
      <c r="AF49" s="310">
        <f>IF(AE47=0,0,AF48/AE47)</f>
        <v>0.22468330523469204</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3">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3">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5">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3">
      <c r="A53" s="332" t="s">
        <v>1203</v>
      </c>
      <c r="B53" s="322" t="s">
        <v>842</v>
      </c>
      <c r="C53" s="323">
        <f>'Расчет базового уровня'!D53</f>
        <v>85632.497179702608</v>
      </c>
      <c r="D53" s="333">
        <f>IF((IF(C138=0,0,B138/C138*D138)+IF(C139=0,0,B139/C139*D139)+IF(C140=0,0,B140/C140*D140))*0.024*$D$147&gt;C53,C53,(IF(C138=0,0,B138/C138*D138)+IF(C139=0,0,B139/C139*D139)+IF(C140=0,0,B140/C140*D140))*0.024*$D$147)</f>
        <v>64129.001454545454</v>
      </c>
      <c r="E53" s="74"/>
      <c r="F53" s="74"/>
      <c r="G53" s="334" t="s">
        <v>1203</v>
      </c>
      <c r="H53" s="326" t="s">
        <v>842</v>
      </c>
      <c r="I53" s="323">
        <f>'Расчет базового уровня'!J53</f>
        <v>15732.747912788553</v>
      </c>
      <c r="J53" s="335">
        <f>IF((IF(C138=0,0,B138/C138*D138)+IF(C139=0,0,B139/C139*D139)+IF(C140=0,0,B140/C140*D140))*0.024*G$147&gt;I53,I53,(IF(C138=0,0,B138/C138*D138)+IF(C139=0,0,B139/C139*D139)+IF(C140=0,0,B140/C140*D140))*0.024*G$147)</f>
        <v>13079.734181818181</v>
      </c>
      <c r="K53" s="323">
        <f>'Расчет базового уровня'!M53</f>
        <v>12711.186015704121</v>
      </c>
      <c r="L53" s="335">
        <f>IF((IF($C$138=0,0,$B$138/$C$138*$D$138)+IF($C$139=0,0,$B$139/$C$139*$D$139)+IF($C$140=0,0,$B$140/$C$140*$D$140))*0.024*$H$147&gt;K53,K53,(IF($C$138=0,0,$B$138/$C$138*$D$138)+IF($C$139=0,0,$B$139/$C$139*$D$139)+IF($C$140=0,0,$B$140/$C$140*$D$140))*0.024*$H$147)</f>
        <v>11106.20509090909</v>
      </c>
      <c r="M53" s="323">
        <f>'Расчет базового уровня'!P53</f>
        <v>13661.066605678887</v>
      </c>
      <c r="N53" s="335">
        <f>IF((IF($C$138=0,0,$B$138/$C$138*$D$138)+IF($C$139=0,0,$B$139/$C$139*$D$139)+IF($C$140=0,0,$B$140/$C$140*$D$140))*0.024*$I$147&gt;M53,M53,(IF($C$138=0,0,$B$138/$C$138*$D$138)+IF($C$139=0,0,$B$139/$C$139*$D$139)+IF($C$140=0,0,$B$140/$C$140*$D$140))*0.024*$I$147)</f>
        <v>9824.8694545454564</v>
      </c>
      <c r="O53" s="323">
        <f>'Расчет базового уровня'!S53</f>
        <v>7661.1450612379103</v>
      </c>
      <c r="P53" s="335">
        <f>IF((IF($C$138=0,0,$B$138/$C$138*$D$138)+IF($C$139=0,0,$B$139/$C$139*$D$139)+IF($C$140=0,0,$B$140/$C$140*$D$140))*0.024*$J$147&gt;O53,O53,(IF($C$138=0,0,$B$138/$C$138*$D$138)+IF($C$139=0,0,$B$139/$C$139*$D$139)+IF($C$140=0,0,$B$140/$C$140*$D$140))*0.024*$J$147)</f>
        <v>3441.5236363636368</v>
      </c>
      <c r="Q53" s="323">
        <f>'Расчет базового уровня'!V53</f>
        <v>0</v>
      </c>
      <c r="R53" s="335">
        <f>IF((IF($C$138=0,0,$B$138/$C$138*$D$138)+IF($C$139=0,0,$B$139/$C$139*$D$139)+IF($C$140=0,0,$B$140/$C$140*$D$140))*0.024*$K$147&gt;Q53,Q53,(IF($C$138=0,0,$B$138/$C$138*$D$138)+IF($C$139=0,0,$B$139/$C$139*$D$139)+IF($C$140=0,0,$B$140/$C$140*$D$140))*0.024*$K$147)</f>
        <v>0</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0</v>
      </c>
      <c r="Z53" s="335">
        <f>IF((IF($C$138=0,0,$B$138/$C$138*$D$138)+IF($C$139=0,0,$B$139/$C$139*$D$139)+IF($C$140=0,0,$B$140/$C$140*$D$140))*0.024*$O$147&gt;Y53,Y53,(IF($C$138=0,0,$B$138/$C$138*$D$138)+IF($C$139=0,0,$B$139/$C$139*$D$139)+IF($C$140=0,0,$B$140/$C$140*$D$140))*0.024*$O$147)</f>
        <v>0</v>
      </c>
      <c r="AA53" s="323">
        <f>'Расчет базового уровня'!AK53</f>
        <v>5231.2080068544883</v>
      </c>
      <c r="AB53" s="335">
        <f>IF((IF($C$138=0,0,$B$138/$C$138*$D$138)+IF($C$139=0,0,$B$139/$C$139*$D$139)+IF($C$140=0,0,$B$140/$C$140*$D$140))*0.024*$P$147&gt;AA53,AA53,(IF($C$138=0,0,$B$138/$C$138*$D$138)+IF($C$139=0,0,$B$139/$C$139*$D$139)+IF($C$140=0,0,$B$140/$C$140*$D$140))*0.024*$P$147)</f>
        <v>5231.2080068544883</v>
      </c>
      <c r="AC53" s="323">
        <f>'Расчет базового уровня'!AN53</f>
        <v>13694.783604008075</v>
      </c>
      <c r="AD53" s="335">
        <f>IF((IF($C$138=0,0,$B$138/$C$138*$D$138)+IF($C$139=0,0,$B$139/$C$139*$D$139)+IF($C$140=0,0,$B$140/$C$140*$D$140))*0.024*$Q$147&gt;AC53,AC53,(IF($C$138=0,0,$B$138/$C$138*$D$138)+IF($C$139=0,0,$B$139/$C$139*$D$139)+IF($C$140=0,0,$B$140/$C$140*$D$140))*0.024*$Q$147)</f>
        <v>9566.2690909090907</v>
      </c>
      <c r="AE53" s="323">
        <f>'Расчет базового уровня'!AQ53</f>
        <v>13604.985934767868</v>
      </c>
      <c r="AF53" s="335">
        <f>IF((IF($C$138=0,0,$B$138/$C$138*$D$138)+IF($C$139=0,0,$B$139/$C$139*$D$139)+IF($C$140=0,0,$B$140/$C$140*$D$140))*0.024*$R$147&gt;AE53,AE53,(IF($C$138=0,0,$B$138/$C$138*$D$138)+IF($C$139=0,0,$B$139/$C$139*$D$139)+IF($C$140=0,0,$B$140/$C$140*$D$140))*0.024*$R$147)</f>
        <v>10548.172727272728</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3">
      <c r="A54" s="307" t="s">
        <v>1339</v>
      </c>
      <c r="B54" s="304" t="s">
        <v>842</v>
      </c>
      <c r="C54" s="308"/>
      <c r="D54" s="308">
        <f>C53-D53</f>
        <v>21503.495725157154</v>
      </c>
      <c r="E54" s="74"/>
      <c r="F54" s="74"/>
      <c r="G54" s="307" t="s">
        <v>1339</v>
      </c>
      <c r="H54" s="304" t="s">
        <v>842</v>
      </c>
      <c r="I54" s="308"/>
      <c r="J54" s="308">
        <f>I53-J53</f>
        <v>2653.0137309703714</v>
      </c>
      <c r="K54" s="308"/>
      <c r="L54" s="308">
        <f>K53-L53</f>
        <v>1604.9809247950307</v>
      </c>
      <c r="M54" s="308"/>
      <c r="N54" s="308">
        <f>M53-N53</f>
        <v>3836.1971511334305</v>
      </c>
      <c r="O54" s="308"/>
      <c r="P54" s="308">
        <f>O53-P53</f>
        <v>4219.6214248742735</v>
      </c>
      <c r="Q54" s="308"/>
      <c r="R54" s="308">
        <f>Q53-R53</f>
        <v>0</v>
      </c>
      <c r="S54" s="308"/>
      <c r="T54" s="308">
        <f>S53-T53</f>
        <v>0</v>
      </c>
      <c r="U54" s="308"/>
      <c r="V54" s="308">
        <f>U53-V53</f>
        <v>0</v>
      </c>
      <c r="W54" s="308"/>
      <c r="X54" s="308">
        <f>W53-X53</f>
        <v>0</v>
      </c>
      <c r="Y54" s="308"/>
      <c r="Z54" s="308">
        <f>Y53-Z53</f>
        <v>0</v>
      </c>
      <c r="AA54" s="308"/>
      <c r="AB54" s="308">
        <f>AA53-AB53</f>
        <v>0</v>
      </c>
      <c r="AC54" s="308"/>
      <c r="AD54" s="308">
        <f>AC53-AD53</f>
        <v>4128.514513098984</v>
      </c>
      <c r="AE54" s="308"/>
      <c r="AF54" s="308">
        <f>AE53-AF53</f>
        <v>3056.8132074951409</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 thickBot="1" x14ac:dyDescent="0.35">
      <c r="A55" s="307" t="s">
        <v>874</v>
      </c>
      <c r="B55" s="309" t="s">
        <v>1181</v>
      </c>
      <c r="C55" s="310"/>
      <c r="D55" s="310">
        <f>IF(C53=0,0,D54/C53)</f>
        <v>0.25111372940615478</v>
      </c>
      <c r="E55" s="74"/>
      <c r="F55" s="74"/>
      <c r="G55" s="307" t="s">
        <v>874</v>
      </c>
      <c r="H55" s="309" t="s">
        <v>1181</v>
      </c>
      <c r="I55" s="310"/>
      <c r="J55" s="310">
        <f>IF(I53=0,0,J54/I53)</f>
        <v>0.16863002863052534</v>
      </c>
      <c r="K55" s="310"/>
      <c r="L55" s="310">
        <f>IF(K53=0,0,L54/K53)</f>
        <v>0.12626523778443224</v>
      </c>
      <c r="M55" s="310"/>
      <c r="N55" s="310">
        <f>IF(M53=0,0,N54/M53)</f>
        <v>0.2808124183757898</v>
      </c>
      <c r="O55" s="310"/>
      <c r="P55" s="310">
        <f>IF(O53=0,0,P54/O53)</f>
        <v>0.55078208167911324</v>
      </c>
      <c r="Q55" s="310"/>
      <c r="R55" s="310">
        <f>IF(Q53=0,0,R54/Q53)</f>
        <v>0</v>
      </c>
      <c r="S55" s="310"/>
      <c r="T55" s="310">
        <f>IF(S53=0,0,T54/S53)</f>
        <v>0</v>
      </c>
      <c r="U55" s="310"/>
      <c r="V55" s="310">
        <f>IF(U53=0,0,V54/U53)</f>
        <v>0</v>
      </c>
      <c r="W55" s="310"/>
      <c r="X55" s="310">
        <f>IF(W53=0,0,X54/W53)</f>
        <v>0</v>
      </c>
      <c r="Y55" s="310"/>
      <c r="Z55" s="310">
        <f>IF(Y53=0,0,Z54/Y53)</f>
        <v>0</v>
      </c>
      <c r="AA55" s="310"/>
      <c r="AB55" s="310">
        <f>IF(AA53=0,0,AB54/AA53)</f>
        <v>0</v>
      </c>
      <c r="AC55" s="310"/>
      <c r="AD55" s="310">
        <f>IF(AC53=0,0,AD54/AC53)</f>
        <v>0.30146621023574882</v>
      </c>
      <c r="AE55" s="310"/>
      <c r="AF55" s="310">
        <f>IF(AE53=0,0,AF54/AE53)</f>
        <v>0.22468330523469204</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3">
      <c r="A56" s="332" t="s">
        <v>1204</v>
      </c>
      <c r="B56" s="322" t="s">
        <v>842</v>
      </c>
      <c r="C56" s="323">
        <f>'Расчет базового уровня'!D56</f>
        <v>151292.86117103149</v>
      </c>
      <c r="D56" s="333">
        <f>IF((IF(C142=0,0,B142/C142*D142)+IF(C141=0,0,B141/C141*D141))*0.024*$D$147&gt;C56,C56,(IF(C142=0,0,B142/C142*D142)+IF(C141=0,0,B141/C141*D141))*0.024*$D$147)</f>
        <v>113301.14656984615</v>
      </c>
      <c r="E56" s="74"/>
      <c r="F56" s="74"/>
      <c r="G56" s="334" t="s">
        <v>1204</v>
      </c>
      <c r="H56" s="326" t="s">
        <v>842</v>
      </c>
      <c r="I56" s="323">
        <f>'Расчет базового уровня'!J56</f>
        <v>27796.134927763651</v>
      </c>
      <c r="J56" s="335">
        <f>IF((IF($C$142=0,0,$B$142/$C$142*$D$142)+IF($C$141=0,0,$B$141/$C$141*$D$141))*0.024*$G$147&gt;I56,I56,(IF($C$142=0,0,$B$142/$C$142*$D$142)+IF($C$141=0,0,$B$141/$C$141*$D$141))*0.024*$G$147)</f>
        <v>23108.871899076923</v>
      </c>
      <c r="K56" s="323">
        <f>'Расчет базового уровня'!M56</f>
        <v>22457.732339130172</v>
      </c>
      <c r="L56" s="335">
        <f>IF((IF($C$142=0,0,$B$142/$C$142*$D$142)+IF($C$141=0,0,$B$141/$C$141*$D$141))*0.024*$H$147&gt;K56,K56,(IF($C$142=0,0,$B$142/$C$142*$D$142)+IF($C$141=0,0,$B$141/$C$141*$D$141))*0.024*$H$147)</f>
        <v>19622.101425230769</v>
      </c>
      <c r="M56" s="323">
        <f>'Расчет базового уровня'!P56</f>
        <v>24135.952138402514</v>
      </c>
      <c r="N56" s="335">
        <f>IF((IF($C$142=0,0,$B$142/$C$142*$D$142)+IF($C$141=0,0,$B$141/$C$141*$D$141))*0.024*$I$147&gt;M56,M56,(IF($C$142=0,0,$B$142/$C$142*$D$142)+IF($C$141=0,0,$B$141/$C$141*$D$141))*0.024*$I$147)</f>
        <v>17358.277048615386</v>
      </c>
      <c r="O56" s="323">
        <f>'Расчет базового уровня'!S56</f>
        <v>13535.475366654793</v>
      </c>
      <c r="P56" s="335">
        <f>IF((IF($C$142=0,0,$B$142/$C$142*$D$142)+IF($C$141=0,0,$B$141/$C$141*$D$141))*0.024*$J$147&gt;O56,O56,(IF($C$142=0,0,$B$142/$C$142*$D$142)+IF($C$141=0,0,$B$141/$C$141*$D$141))*0.024*$J$147)</f>
        <v>6080.3780676923079</v>
      </c>
      <c r="Q56" s="323">
        <f>'Расчет базового уровня'!V56</f>
        <v>0</v>
      </c>
      <c r="R56" s="335">
        <f>IF((IF($C$142=0,0,$B$142/$C$142*$D$142)+IF($C$141=0,0,$B$141/$C$141*$D$141))*0.024*$K$147&gt;Q56,Q56,(IF($C$142=0,0,$B$142/$C$142*$D$142)+IF($C$141=0,0,$B$141/$C$141*$D$141))*0.024*$K$147)</f>
        <v>0</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0</v>
      </c>
      <c r="Z56" s="335">
        <f>IF((IF($C$142=0,0,$B$142/$C$142*$D$142)+IF($C$141=0,0,$B$141/$C$141*$D$141))*0.024*$O$147&gt;Y56,Y56,(IF($C$142=0,0,$B$142/$C$142*$D$142)+IF($C$141=0,0,$B$141/$C$141*$D$141))*0.024*$O$147)</f>
        <v>0</v>
      </c>
      <c r="AA56" s="323">
        <f>'Расчет базового уровня'!AK56</f>
        <v>9242.3373462641448</v>
      </c>
      <c r="AB56" s="335">
        <f>IF((IF($C$142=0,0,$B$142/$C$142*$D$142)+IF($C$141=0,0,$B$141/$C$141*$D$141))*0.024*$P$147&gt;AA56,AA56,(IF($C$142=0,0,$B$142/$C$142*$D$142)+IF($C$141=0,0,$B$141/$C$141*$D$141))*0.024*$P$147)</f>
        <v>9242.3373462641448</v>
      </c>
      <c r="AC56" s="323">
        <f>'Расчет базового уровня'!AN56</f>
        <v>24195.522293604423</v>
      </c>
      <c r="AD56" s="335">
        <f>IF((IF($C$142=0,0,$B$142/$C$142*$D$142)+IF($C$141=0,0,$B$141/$C$141*$D$141))*0.024*$Q$147&gt;AC56,AC56,(IF($C$142=0,0,$B$142/$C$142*$D$142)+IF($C$141=0,0,$B$141/$C$141*$D$141))*0.024*$Q$147)</f>
        <v>16901.389883076921</v>
      </c>
      <c r="AE56" s="323">
        <f>'Расчет базового уровня'!AQ56</f>
        <v>24036.87053459603</v>
      </c>
      <c r="AF56" s="335">
        <f>IF((IF($C$142=0,0,$B$142/$C$142*$D$142)+IF($C$141=0,0,$B$141/$C$141*$D$141))*0.024*$R$147&gt;AE56,AE56,(IF($C$142=0,0,$B$142/$C$142*$D$142)+IF($C$141=0,0,$B$141/$C$141*$D$141))*0.024*$R$147)</f>
        <v>18636.187015384618</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3">
      <c r="A57" s="307" t="s">
        <v>1339</v>
      </c>
      <c r="B57" s="304" t="s">
        <v>842</v>
      </c>
      <c r="C57" s="308"/>
      <c r="D57" s="308">
        <f>C56-D56</f>
        <v>37991.714601185333</v>
      </c>
      <c r="E57" s="74"/>
      <c r="F57" s="74"/>
      <c r="G57" s="307" t="s">
        <v>1339</v>
      </c>
      <c r="H57" s="304" t="s">
        <v>842</v>
      </c>
      <c r="I57" s="308"/>
      <c r="J57" s="308">
        <f>I56-J56</f>
        <v>4687.2630286867279</v>
      </c>
      <c r="K57" s="308"/>
      <c r="L57" s="308">
        <f>K56-L56</f>
        <v>2835.6309138994038</v>
      </c>
      <c r="M57" s="308"/>
      <c r="N57" s="308">
        <f>M56-N56</f>
        <v>6777.6750897871279</v>
      </c>
      <c r="O57" s="308"/>
      <c r="P57" s="308">
        <f>O56-P56</f>
        <v>7455.0972989624852</v>
      </c>
      <c r="Q57" s="308"/>
      <c r="R57" s="308">
        <f>Q56-R56</f>
        <v>0</v>
      </c>
      <c r="S57" s="308"/>
      <c r="T57" s="308">
        <f>S56-T56</f>
        <v>0</v>
      </c>
      <c r="U57" s="308"/>
      <c r="V57" s="308">
        <f>U56-V56</f>
        <v>0</v>
      </c>
      <c r="W57" s="308"/>
      <c r="X57" s="308">
        <f>W56-X56</f>
        <v>0</v>
      </c>
      <c r="Y57" s="308"/>
      <c r="Z57" s="308">
        <f>Y56-Z56</f>
        <v>0</v>
      </c>
      <c r="AA57" s="308"/>
      <c r="AB57" s="308">
        <f>AA56-AB56</f>
        <v>0</v>
      </c>
      <c r="AC57" s="308"/>
      <c r="AD57" s="308">
        <f>AC56-AD56</f>
        <v>7294.1324105275016</v>
      </c>
      <c r="AE57" s="308"/>
      <c r="AF57" s="308">
        <f>AE56-AF56</f>
        <v>5400.6835192114122</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 thickBot="1" x14ac:dyDescent="0.35">
      <c r="A58" s="307" t="s">
        <v>874</v>
      </c>
      <c r="B58" s="309" t="s">
        <v>1181</v>
      </c>
      <c r="C58" s="310"/>
      <c r="D58" s="310">
        <f>IF(C56=0,0,D57/C56)</f>
        <v>0.25111372940615473</v>
      </c>
      <c r="E58" s="74"/>
      <c r="F58" s="74"/>
      <c r="G58" s="307" t="s">
        <v>874</v>
      </c>
      <c r="H58" s="309" t="s">
        <v>1181</v>
      </c>
      <c r="I58" s="310"/>
      <c r="J58" s="310">
        <f>IF(I56=0,0,J57/I56)</f>
        <v>0.16863002863052526</v>
      </c>
      <c r="K58" s="310"/>
      <c r="L58" s="310">
        <f>IF(K56=0,0,L57/K56)</f>
        <v>0.12626523778443219</v>
      </c>
      <c r="M58" s="310"/>
      <c r="N58" s="310">
        <f>IF(M56=0,0,N57/M56)</f>
        <v>0.28081241837578991</v>
      </c>
      <c r="O58" s="310"/>
      <c r="P58" s="310">
        <f>IF(O56=0,0,P57/O56)</f>
        <v>0.55078208167911324</v>
      </c>
      <c r="Q58" s="310"/>
      <c r="R58" s="310">
        <f>IF(Q56=0,0,R57/Q56)</f>
        <v>0</v>
      </c>
      <c r="S58" s="310"/>
      <c r="T58" s="310">
        <f>IF(S56=0,0,T57/S56)</f>
        <v>0</v>
      </c>
      <c r="U58" s="310"/>
      <c r="V58" s="310">
        <f>IF(U56=0,0,V57/U56)</f>
        <v>0</v>
      </c>
      <c r="W58" s="310"/>
      <c r="X58" s="310">
        <f>IF(W56=0,0,X57/W56)</f>
        <v>0</v>
      </c>
      <c r="Y58" s="310"/>
      <c r="Z58" s="310">
        <f>IF(Y56=0,0,Z57/Y56)</f>
        <v>0</v>
      </c>
      <c r="AA58" s="310"/>
      <c r="AB58" s="310">
        <f>IF(AA56=0,0,AB57/AA56)</f>
        <v>0</v>
      </c>
      <c r="AC58" s="310"/>
      <c r="AD58" s="310">
        <f>IF(AC56=0,0,AD57/AC56)</f>
        <v>0.30146621023574893</v>
      </c>
      <c r="AE58" s="310"/>
      <c r="AF58" s="310">
        <f>IF(AE56=0,0,AF57/AE56)</f>
        <v>0.22468330523469193</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3">
      <c r="A59" s="332" t="s">
        <v>1205</v>
      </c>
      <c r="B59" s="322" t="s">
        <v>842</v>
      </c>
      <c r="C59" s="323">
        <f>'Расчет базового уровня'!D59</f>
        <v>1268.392327778651</v>
      </c>
      <c r="D59" s="342">
        <f>IF(IF(C143=0,0,B143/C143*D143)*0.024*$D$147&gt;C59,C59,IF(C143=0,0,B143/C143*D143)*0.024*$D$147)</f>
        <v>949.88160000000005</v>
      </c>
      <c r="E59" s="74"/>
      <c r="F59" s="74"/>
      <c r="G59" s="334" t="s">
        <v>1205</v>
      </c>
      <c r="H59" s="326" t="s">
        <v>842</v>
      </c>
      <c r="I59" s="323">
        <f>'Расчет базового уровня'!J59</f>
        <v>233.03415647893277</v>
      </c>
      <c r="J59" s="343">
        <f>IF($C143=0,0,MIN($B143/$C143*$D143*0.024*$G$147,I59))</f>
        <v>193.73760000000001</v>
      </c>
      <c r="K59" s="323">
        <f>'Расчет базового уровня'!M59</f>
        <v>188.27864829694528</v>
      </c>
      <c r="L59" s="343">
        <f>IF($C143=0,0,MIN($B143/$C143*$D143*0.024*$H$147,K59))</f>
        <v>164.50559999999999</v>
      </c>
      <c r="M59" s="323">
        <f>'Расчет базового уровня'!P59</f>
        <v>202.34832152043538</v>
      </c>
      <c r="N59" s="343">
        <f>IF($C143=0,0,MIN($B143/$C143*$D143*0.024*$I$147,M59))</f>
        <v>145.52640000000002</v>
      </c>
      <c r="O59" s="323">
        <f>'Расчет базового уровня'!S59</f>
        <v>113.47721878624323</v>
      </c>
      <c r="P59" s="343">
        <f>IF($C143=0,0,MIN($B143/$C143*$D143*0.024*$J$147,O59))</f>
        <v>50.976000000000006</v>
      </c>
      <c r="Q59" s="323">
        <f>'Расчет базового уровня'!V59</f>
        <v>0</v>
      </c>
      <c r="R59" s="343">
        <f>IF($C143=0,0,MIN($B143/$C143*$D143*0.024*$K$147,Q59))</f>
        <v>0</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0</v>
      </c>
      <c r="Z59" s="343">
        <f>IF($C143=0,0,MIN($B143/$C143*$D143*0.024*$O$147,Y59))</f>
        <v>0</v>
      </c>
      <c r="AA59" s="323">
        <f>'Расчет базового уровня'!AK59</f>
        <v>77.484883886829152</v>
      </c>
      <c r="AB59" s="343">
        <f>IF($C143=0,0,MIN($B143/$C143*$D143*0.024*$P$147,AA59))</f>
        <v>77.484883886829152</v>
      </c>
      <c r="AC59" s="323">
        <f>'Расчет базового уровня'!AN59</f>
        <v>202.84773918785109</v>
      </c>
      <c r="AD59" s="343">
        <f>IF($C143=0,0,MIN($B143/$C143*$D143*0.024*$Q$147,AC59))</f>
        <v>141.696</v>
      </c>
      <c r="AE59" s="323">
        <f>'Расчет базового уровня'!AQ59</f>
        <v>201.51765214767443</v>
      </c>
      <c r="AF59" s="343">
        <f>IF($C143=0,0,MIN($B143/$C143*$D143*0.024*$R$147,AE59))</f>
        <v>156.24</v>
      </c>
      <c r="AG59" s="74"/>
      <c r="AH59" s="74"/>
      <c r="AI59" s="74"/>
      <c r="AJ59" s="74"/>
      <c r="AK59" s="74"/>
      <c r="AL59" s="74"/>
      <c r="AM59" s="74"/>
      <c r="AN59" s="74"/>
      <c r="AO59" s="74"/>
      <c r="AP59" s="74"/>
      <c r="AQ59" s="74"/>
      <c r="AR59" s="74"/>
      <c r="AS59" s="74"/>
      <c r="AT59" s="74"/>
      <c r="AU59" s="74"/>
    </row>
    <row r="60" spans="1:55" x14ac:dyDescent="0.3">
      <c r="A60" s="307" t="s">
        <v>1339</v>
      </c>
      <c r="B60" s="304" t="s">
        <v>842</v>
      </c>
      <c r="C60" s="308"/>
      <c r="D60" s="308">
        <f>C59-D59</f>
        <v>318.5107277786509</v>
      </c>
      <c r="E60" s="74"/>
      <c r="F60" s="74"/>
      <c r="G60" s="307" t="s">
        <v>1339</v>
      </c>
      <c r="H60" s="304" t="s">
        <v>842</v>
      </c>
      <c r="I60" s="308"/>
      <c r="J60" s="308">
        <f>I59-J59</f>
        <v>39.296556478932757</v>
      </c>
      <c r="K60" s="308"/>
      <c r="L60" s="308">
        <f>K59-L59</f>
        <v>23.773048296945291</v>
      </c>
      <c r="M60" s="308"/>
      <c r="N60" s="308">
        <f>M59-N59</f>
        <v>56.821921520435353</v>
      </c>
      <c r="O60" s="308"/>
      <c r="P60" s="308">
        <f>O59-P59</f>
        <v>62.501218786243221</v>
      </c>
      <c r="Q60" s="308"/>
      <c r="R60" s="308">
        <f>Q59-R59</f>
        <v>0</v>
      </c>
      <c r="S60" s="308"/>
      <c r="T60" s="308">
        <f>S59-T59</f>
        <v>0</v>
      </c>
      <c r="U60" s="308"/>
      <c r="V60" s="308">
        <f>U59-V59</f>
        <v>0</v>
      </c>
      <c r="W60" s="308"/>
      <c r="X60" s="308">
        <f>W59-X59</f>
        <v>0</v>
      </c>
      <c r="Y60" s="308"/>
      <c r="Z60" s="308">
        <f>Y59-Z59</f>
        <v>0</v>
      </c>
      <c r="AA60" s="308"/>
      <c r="AB60" s="308">
        <f>AA59-AB59</f>
        <v>0</v>
      </c>
      <c r="AC60" s="308"/>
      <c r="AD60" s="308">
        <f>AC59-AD59</f>
        <v>61.151739187851092</v>
      </c>
      <c r="AE60" s="308"/>
      <c r="AF60" s="308">
        <f>AE59-AF59</f>
        <v>45.277652147674416</v>
      </c>
      <c r="AG60" s="74"/>
      <c r="AH60" s="74"/>
      <c r="AI60" s="74"/>
      <c r="AJ60" s="74"/>
      <c r="AK60" s="74"/>
      <c r="AL60" s="74"/>
      <c r="AM60" s="74"/>
      <c r="AN60" s="74"/>
      <c r="AO60" s="74"/>
      <c r="AP60" s="74"/>
      <c r="AQ60" s="74"/>
      <c r="AR60" s="74"/>
      <c r="AS60" s="74"/>
      <c r="AT60" s="74"/>
      <c r="AU60" s="74"/>
    </row>
    <row r="61" spans="1:55" ht="15" thickBot="1" x14ac:dyDescent="0.35">
      <c r="A61" s="307" t="s">
        <v>874</v>
      </c>
      <c r="B61" s="309" t="s">
        <v>1181</v>
      </c>
      <c r="C61" s="310"/>
      <c r="D61" s="310">
        <f>IF(C59=0,0,D60/C59)</f>
        <v>0.25111372940615473</v>
      </c>
      <c r="E61" s="74"/>
      <c r="F61" s="74"/>
      <c r="G61" s="307" t="s">
        <v>874</v>
      </c>
      <c r="H61" s="309" t="s">
        <v>1181</v>
      </c>
      <c r="I61" s="310"/>
      <c r="J61" s="310">
        <f>IF(I59=0,0,J60/I59)</f>
        <v>0.16863002863052534</v>
      </c>
      <c r="K61" s="310"/>
      <c r="L61" s="310">
        <f>IF(K59=0,0,L60/K59)</f>
        <v>0.12626523778443227</v>
      </c>
      <c r="M61" s="310"/>
      <c r="N61" s="310">
        <f>IF(M59=0,0,N60/M59)</f>
        <v>0.28081241837578991</v>
      </c>
      <c r="O61" s="310"/>
      <c r="P61" s="310">
        <f>IF(O59=0,0,P60/O59)</f>
        <v>0.55078208167911324</v>
      </c>
      <c r="Q61" s="310"/>
      <c r="R61" s="310">
        <f>IF(Q59=0,0,R60/Q59)</f>
        <v>0</v>
      </c>
      <c r="S61" s="310"/>
      <c r="T61" s="310">
        <f>IF(S59=0,0,T60/S59)</f>
        <v>0</v>
      </c>
      <c r="U61" s="310"/>
      <c r="V61" s="310">
        <f>IF(U59=0,0,V60/U59)</f>
        <v>0</v>
      </c>
      <c r="W61" s="310"/>
      <c r="X61" s="310">
        <f>IF(W59=0,0,X60/W59)</f>
        <v>0</v>
      </c>
      <c r="Y61" s="310"/>
      <c r="Z61" s="310">
        <f>IF(Y59=0,0,Z60/Y59)</f>
        <v>0</v>
      </c>
      <c r="AA61" s="310"/>
      <c r="AB61" s="310">
        <f>IF(AA59=0,0,AB60/AA59)</f>
        <v>0</v>
      </c>
      <c r="AC61" s="310"/>
      <c r="AD61" s="310">
        <f>IF(AC59=0,0,AD60/AC59)</f>
        <v>0.30146621023574899</v>
      </c>
      <c r="AE61" s="310"/>
      <c r="AF61" s="310">
        <f>IF(AE59=0,0,AF60/AE59)</f>
        <v>0.22468330523469199</v>
      </c>
      <c r="AG61" s="74"/>
      <c r="AH61" s="74"/>
      <c r="AI61" s="74"/>
      <c r="AJ61" s="74"/>
      <c r="AK61" s="74"/>
      <c r="AL61" s="74"/>
      <c r="AM61" s="74"/>
      <c r="AN61" s="74"/>
      <c r="AO61" s="74"/>
      <c r="AP61" s="74"/>
      <c r="AQ61" s="74"/>
      <c r="AR61" s="74"/>
      <c r="AS61" s="74"/>
      <c r="AT61" s="74"/>
      <c r="AU61" s="74"/>
    </row>
    <row r="62" spans="1:55" ht="24.75" customHeight="1" x14ac:dyDescent="0.3">
      <c r="A62" s="329" t="s">
        <v>1198</v>
      </c>
      <c r="B62" s="322" t="s">
        <v>842</v>
      </c>
      <c r="C62" s="323">
        <f>'Расчет базового уровня'!D62</f>
        <v>303788.52763969568</v>
      </c>
      <c r="D62" s="324">
        <f>IF((D151*D152*'Ввод исходных данных'!$D$22*0.28)*D147*0.024+D190*D154+D161&gt;C62,C62,(D151*D152*'Ввод исходных данных'!$D$22*0.28)*D147*0.024+D190*D154+D161)</f>
        <v>227847.05776164393</v>
      </c>
      <c r="E62" s="74"/>
      <c r="F62" s="74"/>
      <c r="G62" s="344" t="s">
        <v>1198</v>
      </c>
      <c r="H62" s="326" t="s">
        <v>842</v>
      </c>
      <c r="I62" s="323">
        <f>'Расчет базового уровня'!J62</f>
        <v>55813.254098181234</v>
      </c>
      <c r="J62" s="328">
        <f>MIN(I62,($D$151*$D$152*'Ввод исходных данных'!$D$22*0.28)*$G$147*0.024+$G$190*$D$154+$G$161)</f>
        <v>46401.463461642146</v>
      </c>
      <c r="K62" s="323">
        <f>'Расчет базового уровня'!M62</f>
        <v>45094.007665822632</v>
      </c>
      <c r="L62" s="328">
        <f>MIN(K62,($D$151*$D$152*'Ввод исходных данных'!$D$22*0.28)*$H$147*0.024+$H$190*$D$154+$H$161)</f>
        <v>39400.202065244528</v>
      </c>
      <c r="M62" s="323">
        <f>'Расчет базового уровня'!P62</f>
        <v>48463.789411838996</v>
      </c>
      <c r="N62" s="328">
        <f>MIN(M62,($D$151*$D$152*'Ввод исходных данных'!$D$22*0.28)*$I$147*0.024+$I$190*$D$154+$I$161)</f>
        <v>34854.555503445496</v>
      </c>
      <c r="O62" s="323">
        <f>'Расчет базового уровня'!S62</f>
        <v>27178.560182631754</v>
      </c>
      <c r="P62" s="328">
        <f>MIN(O62,($D$151*$D$152*'Ввод исходных данных'!$D$22*0.28)*$J$147*0.024+$J$190*$D$154+$J$161)</f>
        <v>12209.096228200775</v>
      </c>
      <c r="Q62" s="323">
        <f>'Расчет базового уровня'!V62</f>
        <v>0</v>
      </c>
      <c r="R62" s="328">
        <f>MIN(Q62,($D$151*$D$152*'Ввод исходных данных'!$D$22*0.28)*$K$147*0.024+$K$190*$D$154+$K$161)</f>
        <v>0</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0</v>
      </c>
      <c r="Z62" s="328">
        <f>MIN(Y62,($D$151*$D$152*'Ввод исходных данных'!$D$22*0.28)*$O$147*0.024+$O$190*$D$154+$O$161)</f>
        <v>0</v>
      </c>
      <c r="AA62" s="323">
        <f>'Расчет базового уровня'!AK62</f>
        <v>18558.152926970746</v>
      </c>
      <c r="AB62" s="328">
        <f>MIN(AA62,($D$151*$D$152*'Ввод исходных данных'!$D$22*0.28)*$P$147*0.024+$P$190*$D$154+$P$161)</f>
        <v>18558.152926970746</v>
      </c>
      <c r="AC62" s="323">
        <f>'Расчет базового уровня'!AN62</f>
        <v>48583.403315627882</v>
      </c>
      <c r="AD62" s="328">
        <f>MIN(AC62,($D$151*$D$152*'Ввод исходных данных'!$D$22*0.28)*$Q$147*0.024+$Q$190*$D$154+$Q$161)</f>
        <v>33937.148837710629</v>
      </c>
      <c r="AE62" s="323">
        <f>'Расчет базового уровня'!AQ62</f>
        <v>48264.83848775988</v>
      </c>
      <c r="AF62" s="328">
        <f>MIN(AE62,($D$151*$D$152*'Ввод исходных данных'!$D$22*0.28)*$R$147*0.024+$R$190*$D$154+$R$161)</f>
        <v>37420.53504971142</v>
      </c>
      <c r="AG62" s="74"/>
      <c r="AH62" s="74"/>
      <c r="AI62" s="74"/>
      <c r="AJ62" s="74"/>
      <c r="AK62" s="74"/>
      <c r="AL62" s="74"/>
      <c r="AM62" s="74"/>
      <c r="AN62" s="74"/>
      <c r="AO62" s="74"/>
      <c r="AP62" s="74"/>
      <c r="AQ62" s="74"/>
      <c r="AR62" s="74"/>
      <c r="AS62" s="74"/>
      <c r="AT62" s="74"/>
      <c r="AU62" s="74"/>
    </row>
    <row r="63" spans="1:55" x14ac:dyDescent="0.3">
      <c r="A63" s="307" t="s">
        <v>1339</v>
      </c>
      <c r="B63" s="304" t="s">
        <v>842</v>
      </c>
      <c r="C63" s="308"/>
      <c r="D63" s="308">
        <f>C62-D62</f>
        <v>75941.46987805175</v>
      </c>
      <c r="E63" s="317"/>
      <c r="F63" s="74"/>
      <c r="G63" s="307" t="s">
        <v>1339</v>
      </c>
      <c r="H63" s="304" t="s">
        <v>842</v>
      </c>
      <c r="I63" s="308"/>
      <c r="J63" s="308">
        <f>I62-J62</f>
        <v>9411.7906365390882</v>
      </c>
      <c r="K63" s="308"/>
      <c r="L63" s="308">
        <f>K62-L62</f>
        <v>5693.8056005781036</v>
      </c>
      <c r="M63" s="308"/>
      <c r="N63" s="308">
        <f>M62-N62</f>
        <v>13609.2339083935</v>
      </c>
      <c r="O63" s="308"/>
      <c r="P63" s="308">
        <f>O62-P62</f>
        <v>14969.463954430979</v>
      </c>
      <c r="Q63" s="308"/>
      <c r="R63" s="308">
        <f>Q62-R62</f>
        <v>0</v>
      </c>
      <c r="S63" s="308"/>
      <c r="T63" s="308">
        <f>S62-T62</f>
        <v>0</v>
      </c>
      <c r="U63" s="308"/>
      <c r="V63" s="308">
        <f>U62-V62</f>
        <v>0</v>
      </c>
      <c r="W63" s="308"/>
      <c r="X63" s="308">
        <f>W62-X62</f>
        <v>0</v>
      </c>
      <c r="Y63" s="308"/>
      <c r="Z63" s="308">
        <f>Y62-Z62</f>
        <v>0</v>
      </c>
      <c r="AA63" s="308"/>
      <c r="AB63" s="308">
        <f>AA62-AB62</f>
        <v>0</v>
      </c>
      <c r="AC63" s="308"/>
      <c r="AD63" s="308">
        <f>AC62-AD62</f>
        <v>14646.254477917253</v>
      </c>
      <c r="AE63" s="308"/>
      <c r="AF63" s="308">
        <f>AE62-AF62</f>
        <v>10844.303438048461</v>
      </c>
      <c r="AG63" s="74"/>
      <c r="AH63" s="74"/>
      <c r="AI63" s="74"/>
      <c r="AJ63" s="74"/>
      <c r="AK63" s="74"/>
      <c r="AL63" s="74"/>
      <c r="AM63" s="74"/>
      <c r="AN63" s="74"/>
      <c r="AO63" s="74"/>
      <c r="AP63" s="74"/>
      <c r="AQ63" s="74"/>
      <c r="AR63" s="74"/>
      <c r="AS63" s="74"/>
      <c r="AT63" s="74"/>
      <c r="AU63" s="74"/>
    </row>
    <row r="64" spans="1:55" ht="15" thickBot="1" x14ac:dyDescent="0.35">
      <c r="A64" s="307" t="s">
        <v>874</v>
      </c>
      <c r="B64" s="309" t="s">
        <v>1181</v>
      </c>
      <c r="C64" s="310"/>
      <c r="D64" s="310">
        <f>IF(C62=0,0,D63/C62)</f>
        <v>0.24998136192990511</v>
      </c>
      <c r="E64" s="74"/>
      <c r="F64" s="74"/>
      <c r="G64" s="307" t="s">
        <v>874</v>
      </c>
      <c r="H64" s="309" t="s">
        <v>1181</v>
      </c>
      <c r="I64" s="310"/>
      <c r="J64" s="310">
        <f>IF(I62=0,0,J63/I62)</f>
        <v>0.16863002863052534</v>
      </c>
      <c r="K64" s="310"/>
      <c r="L64" s="310">
        <f>IF(K62=0,0,L63/K62)</f>
        <v>0.12626523778443222</v>
      </c>
      <c r="M64" s="310"/>
      <c r="N64" s="310">
        <f>IF(M62=0,0,N63/M62)</f>
        <v>0.28081241837578974</v>
      </c>
      <c r="O64" s="310"/>
      <c r="P64" s="310">
        <f>IF(O62=0,0,P63/O62)</f>
        <v>0.55078208167911324</v>
      </c>
      <c r="Q64" s="310"/>
      <c r="R64" s="310">
        <f>IF(Q62=0,0,R63/Q62)</f>
        <v>0</v>
      </c>
      <c r="S64" s="310"/>
      <c r="T64" s="310">
        <f>IF(S62=0,0,T63/S62)</f>
        <v>0</v>
      </c>
      <c r="U64" s="310"/>
      <c r="V64" s="310">
        <f>IF(U62=0,0,V63/U62)</f>
        <v>0</v>
      </c>
      <c r="W64" s="310"/>
      <c r="X64" s="310">
        <f>IF(W62=0,0,X63/W62)</f>
        <v>0</v>
      </c>
      <c r="Y64" s="310"/>
      <c r="Z64" s="310">
        <f>IF(Y62=0,0,Z63/Y62)</f>
        <v>0</v>
      </c>
      <c r="AA64" s="310"/>
      <c r="AB64" s="310">
        <f>IF(AA62=0,0,AB63/AA62)</f>
        <v>0</v>
      </c>
      <c r="AC64" s="310"/>
      <c r="AD64" s="310">
        <f>IF(AC62=0,0,AD63/AC62)</f>
        <v>0.30146621023574888</v>
      </c>
      <c r="AE64" s="310"/>
      <c r="AF64" s="310">
        <f>IF(AE62=0,0,AF63/AE62)</f>
        <v>0.22468330523469193</v>
      </c>
      <c r="AG64" s="74"/>
      <c r="AH64" s="74"/>
      <c r="AI64" s="74"/>
      <c r="AJ64" s="74"/>
      <c r="AK64" s="74"/>
      <c r="AL64" s="74"/>
      <c r="AM64" s="74"/>
      <c r="AN64" s="74"/>
      <c r="AO64" s="74"/>
      <c r="AP64" s="74"/>
      <c r="AQ64" s="74"/>
      <c r="AR64" s="74"/>
      <c r="AS64" s="74"/>
      <c r="AT64" s="74"/>
      <c r="AU64" s="74"/>
    </row>
    <row r="65" spans="1:47" ht="45.75" customHeight="1" x14ac:dyDescent="0.3">
      <c r="A65" s="329" t="s">
        <v>1206</v>
      </c>
      <c r="B65" s="322" t="s">
        <v>842</v>
      </c>
      <c r="C65" s="323">
        <f>'Расчет базового уровня'!D65</f>
        <v>77014.920470165816</v>
      </c>
      <c r="D65" s="324">
        <f>IF((D62+D38-D71*$D$156)*($D$158-1)&gt;C65,C65,(D62+D38-D71*$D$156)*($D$158-1))</f>
        <v>33480.602206356205</v>
      </c>
      <c r="E65" s="74"/>
      <c r="F65" s="74"/>
      <c r="G65" s="345" t="s">
        <v>1206</v>
      </c>
      <c r="H65" s="346" t="s">
        <v>842</v>
      </c>
      <c r="I65" s="323">
        <f>'Расчет базового уровня'!J65</f>
        <v>14508.239614605616</v>
      </c>
      <c r="J65" s="347">
        <f>MIN(I65,(J62+J38-J71*$D$156)*($D$158-1))</f>
        <v>7223.4998613466005</v>
      </c>
      <c r="K65" s="323">
        <f>'Расчет базового уровня'!M65</f>
        <v>11684.923019557198</v>
      </c>
      <c r="L65" s="347">
        <f>MIN(K65,(L62+L38-L71*$D$156)*($D$158-1))</f>
        <v>6042.2931361098208</v>
      </c>
      <c r="M65" s="323">
        <f>'Расчет базового уровня'!P65</f>
        <v>12230.720312753881</v>
      </c>
      <c r="N65" s="347">
        <f>MIN(M65,(N62+N38-N71*$D$156)*($D$158-1))</f>
        <v>5006.1012885218188</v>
      </c>
      <c r="O65" s="323">
        <f>'Расчет базового уровня'!S65</f>
        <v>6723.511553753443</v>
      </c>
      <c r="P65" s="347">
        <f>MIN(O65,(P62+P38-P71*$D$156)*($D$158-1))</f>
        <v>1528.194747339272</v>
      </c>
      <c r="Q65" s="323">
        <f>'Расчет базового уровня'!V65</f>
        <v>0</v>
      </c>
      <c r="R65" s="347">
        <f>MIN(Q65,(R62+R38-R71*$D$156)*($D$158-1))</f>
        <v>0</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0</v>
      </c>
      <c r="Z65" s="347">
        <f>MIN(Y65,(Z62+Z38-Z71*$D$156)*($D$158-1))</f>
        <v>0</v>
      </c>
      <c r="AA65" s="323">
        <f>'Расчет базового уровня'!AK65</f>
        <v>3792.4077150728062</v>
      </c>
      <c r="AB65" s="347">
        <f>MIN(AA65,(AB62+AB38-AB71*$D$156)*($D$158-1))</f>
        <v>2261.2987082278969</v>
      </c>
      <c r="AC65" s="323">
        <f>'Расчет базового уровня'!AN65</f>
        <v>12046.390252777324</v>
      </c>
      <c r="AD65" s="347">
        <f>MIN(AC65,(AD62+AD38-AD71*$D$156)*($D$158-1))</f>
        <v>4884.352475860268</v>
      </c>
      <c r="AE65" s="323">
        <f>'Расчет базового уровня'!AQ65</f>
        <v>12394.727736449147</v>
      </c>
      <c r="AF65" s="347">
        <f>MIN(AE65,(AF62+AF38-AF71*$D$156)*($D$158-1))</f>
        <v>5498.8565269273249</v>
      </c>
      <c r="AG65" s="74"/>
      <c r="AH65" s="74"/>
      <c r="AI65" s="74"/>
      <c r="AJ65" s="74"/>
      <c r="AK65" s="74"/>
      <c r="AL65" s="74"/>
      <c r="AM65" s="74"/>
      <c r="AN65" s="74"/>
      <c r="AO65" s="74"/>
      <c r="AP65" s="74"/>
      <c r="AQ65" s="74"/>
      <c r="AR65" s="74"/>
      <c r="AS65" s="74"/>
      <c r="AT65" s="74"/>
      <c r="AU65" s="74"/>
    </row>
    <row r="66" spans="1:47" x14ac:dyDescent="0.3">
      <c r="A66" s="307" t="s">
        <v>1339</v>
      </c>
      <c r="B66" s="304" t="s">
        <v>842</v>
      </c>
      <c r="C66" s="308"/>
      <c r="D66" s="308">
        <f>C65-D65</f>
        <v>43534.318263809611</v>
      </c>
      <c r="E66" s="74"/>
      <c r="F66" s="74"/>
      <c r="G66" s="307" t="s">
        <v>1339</v>
      </c>
      <c r="H66" s="304" t="s">
        <v>842</v>
      </c>
      <c r="I66" s="308"/>
      <c r="J66" s="308">
        <f>I65-J65</f>
        <v>7284.7397532590157</v>
      </c>
      <c r="K66" s="308"/>
      <c r="L66" s="308">
        <f>K65-L65</f>
        <v>5642.6298834473773</v>
      </c>
      <c r="M66" s="308"/>
      <c r="N66" s="308">
        <f>M65-N65</f>
        <v>7224.6190242320627</v>
      </c>
      <c r="O66" s="308"/>
      <c r="P66" s="308">
        <f>O65-P65</f>
        <v>5195.316806414171</v>
      </c>
      <c r="Q66" s="308"/>
      <c r="R66" s="308">
        <f>Q65-R65</f>
        <v>0</v>
      </c>
      <c r="S66" s="308"/>
      <c r="T66" s="308">
        <f>S65-T65</f>
        <v>0</v>
      </c>
      <c r="U66" s="308"/>
      <c r="V66" s="308">
        <f>U65-V65</f>
        <v>0</v>
      </c>
      <c r="W66" s="308"/>
      <c r="X66" s="308">
        <f>W65-X65</f>
        <v>0</v>
      </c>
      <c r="Y66" s="308"/>
      <c r="Z66" s="308">
        <f>Y65-Z65</f>
        <v>0</v>
      </c>
      <c r="AA66" s="308"/>
      <c r="AB66" s="308">
        <f>AA65-AB65</f>
        <v>1531.1090068449093</v>
      </c>
      <c r="AC66" s="308"/>
      <c r="AD66" s="308">
        <f>AC65-AD65</f>
        <v>7162.0377769170564</v>
      </c>
      <c r="AE66" s="308"/>
      <c r="AF66" s="308">
        <f>AE65-AF65</f>
        <v>6895.8712095218225</v>
      </c>
      <c r="AG66" s="74"/>
      <c r="AH66" s="74"/>
      <c r="AI66" s="74"/>
      <c r="AJ66" s="74"/>
      <c r="AK66" s="74"/>
      <c r="AL66" s="74"/>
      <c r="AM66" s="74"/>
      <c r="AN66" s="74"/>
      <c r="AO66" s="74"/>
      <c r="AP66" s="74"/>
      <c r="AQ66" s="74"/>
      <c r="AR66" s="74"/>
      <c r="AS66" s="74"/>
      <c r="AT66" s="74"/>
      <c r="AU66" s="74"/>
    </row>
    <row r="67" spans="1:47" ht="18" customHeight="1" thickBot="1" x14ac:dyDescent="0.35">
      <c r="A67" s="307" t="s">
        <v>874</v>
      </c>
      <c r="B67" s="309" t="s">
        <v>1181</v>
      </c>
      <c r="C67" s="310"/>
      <c r="D67" s="310">
        <f>IF(C65=0,0,D66/C65)</f>
        <v>0.56527122274539021</v>
      </c>
      <c r="E67" s="74"/>
      <c r="F67" s="74"/>
      <c r="G67" s="307" t="s">
        <v>874</v>
      </c>
      <c r="H67" s="309" t="s">
        <v>1181</v>
      </c>
      <c r="I67" s="310"/>
      <c r="J67" s="310">
        <f>IF(I65=0,0,J66/I65)</f>
        <v>0.50211052110866583</v>
      </c>
      <c r="K67" s="310"/>
      <c r="L67" s="310">
        <f>IF(K65=0,0,L66/K65)</f>
        <v>0.48289833608687355</v>
      </c>
      <c r="M67" s="310"/>
      <c r="N67" s="310">
        <f>IF(M65=0,0,N66/M65)</f>
        <v>0.59069448401157654</v>
      </c>
      <c r="O67" s="310"/>
      <c r="P67" s="310">
        <f>IF(O65=0,0,P66/O65)</f>
        <v>0.77270883895690679</v>
      </c>
      <c r="Q67" s="310"/>
      <c r="R67" s="310">
        <f>IF(Q65=0,0,R66/Q65)</f>
        <v>0</v>
      </c>
      <c r="S67" s="310"/>
      <c r="T67" s="310">
        <f>IF(S65=0,0,T66/S65)</f>
        <v>0</v>
      </c>
      <c r="U67" s="310"/>
      <c r="V67" s="310">
        <f>IF(U65=0,0,V66/U65)</f>
        <v>0</v>
      </c>
      <c r="W67" s="310"/>
      <c r="X67" s="310">
        <f>IF(W65=0,0,X66/W65)</f>
        <v>0</v>
      </c>
      <c r="Y67" s="310"/>
      <c r="Z67" s="310">
        <f>IF(Y65=0,0,Z66/Y65)</f>
        <v>0</v>
      </c>
      <c r="AA67" s="310"/>
      <c r="AB67" s="310">
        <f>IF(AA65=0,0,AB66/AA65)</f>
        <v>0.403730063294504</v>
      </c>
      <c r="AC67" s="310"/>
      <c r="AD67" s="310">
        <f>IF(AC65=0,0,AD66/AC65)</f>
        <v>0.59453808374386941</v>
      </c>
      <c r="AE67" s="310"/>
      <c r="AF67" s="310">
        <f>IF(AE65=0,0,AF66/AE65)</f>
        <v>0.5563551984480587</v>
      </c>
      <c r="AG67" s="74"/>
      <c r="AH67" s="74"/>
      <c r="AI67" s="74"/>
      <c r="AJ67" s="74"/>
      <c r="AK67" s="74"/>
      <c r="AL67" s="74"/>
      <c r="AM67" s="74"/>
      <c r="AN67" s="74"/>
      <c r="AO67" s="74"/>
      <c r="AP67" s="74"/>
      <c r="AQ67" s="74"/>
      <c r="AR67" s="74"/>
      <c r="AS67" s="74"/>
      <c r="AT67" s="74"/>
      <c r="AU67" s="74"/>
    </row>
    <row r="68" spans="1:47" ht="45.6" customHeight="1" x14ac:dyDescent="0.3">
      <c r="A68" s="329" t="s">
        <v>1200</v>
      </c>
      <c r="B68" s="322" t="s">
        <v>842</v>
      </c>
      <c r="C68" s="323">
        <f>'Расчет базового уровня'!D68</f>
        <v>182137.39801955799</v>
      </c>
      <c r="D68" s="348">
        <f>IF(D71*(1-$D$156)&gt;C68,C68,D71*(1-$D$156))</f>
        <v>146168.47230388489</v>
      </c>
      <c r="E68" s="74"/>
      <c r="F68" s="74"/>
      <c r="G68" s="345" t="s">
        <v>1200</v>
      </c>
      <c r="H68" s="346" t="s">
        <v>842</v>
      </c>
      <c r="I68" s="323">
        <f>'Расчет базового уровня'!J68</f>
        <v>28338.05102239046</v>
      </c>
      <c r="J68" s="349">
        <f>MIN(I68,J71*(1-$D$156))</f>
        <v>24102.24809266187</v>
      </c>
      <c r="K68" s="323">
        <f>'Расчет базового уровня'!M68</f>
        <v>23423.118134032855</v>
      </c>
      <c r="L68" s="349">
        <f>MIN(K68,L71*(1-$D$156))</f>
        <v>21769.772470791366</v>
      </c>
      <c r="M68" s="323">
        <f>'Расчет базового уровня'!P68</f>
        <v>29850.51906704298</v>
      </c>
      <c r="N68" s="349">
        <f>MIN(M68,N71*(1-$D$156))</f>
        <v>24102.24809266187</v>
      </c>
      <c r="O68" s="323">
        <f>'Расчет базового уровня'!S68</f>
        <v>18675.831361665554</v>
      </c>
      <c r="P68" s="349">
        <f>MIN(O68,P71*(1-$D$156))</f>
        <v>11662.378109352518</v>
      </c>
      <c r="Q68" s="323">
        <f>'Расчет базового уровня'!V68</f>
        <v>0</v>
      </c>
      <c r="R68" s="349">
        <f>MIN(Q68,R71*(1-$D$156))</f>
        <v>0</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24160.325219650153</v>
      </c>
      <c r="AB68" s="349">
        <f>MIN(AA68,AB71*(1-$D$156))</f>
        <v>19437.296848920865</v>
      </c>
      <c r="AC68" s="323">
        <f>'Расчет базового уровня'!AN68</f>
        <v>32988.719224621302</v>
      </c>
      <c r="AD68" s="349">
        <f>MIN(AC68,AD71*(1-$D$156))</f>
        <v>23324.756218705035</v>
      </c>
      <c r="AE68" s="323">
        <f>'Расчет базового уровня'!AQ68</f>
        <v>26667.745268872022</v>
      </c>
      <c r="AF68" s="349">
        <f>MIN(AE68,AF71*(1-$D$156))</f>
        <v>24102.24809266187</v>
      </c>
      <c r="AG68" s="74"/>
      <c r="AH68" s="74"/>
      <c r="AI68" s="74"/>
      <c r="AJ68" s="74"/>
      <c r="AK68" s="74"/>
      <c r="AL68" s="74"/>
      <c r="AM68" s="74"/>
      <c r="AN68" s="74"/>
      <c r="AO68" s="74"/>
      <c r="AP68" s="74"/>
      <c r="AQ68" s="74"/>
      <c r="AR68" s="74"/>
      <c r="AS68" s="74"/>
      <c r="AT68" s="74"/>
      <c r="AU68" s="74"/>
    </row>
    <row r="69" spans="1:47" x14ac:dyDescent="0.3">
      <c r="A69" s="307" t="s">
        <v>1339</v>
      </c>
      <c r="B69" s="304" t="s">
        <v>842</v>
      </c>
      <c r="C69" s="308"/>
      <c r="D69" s="308">
        <f>C68-D68</f>
        <v>35968.925715673104</v>
      </c>
      <c r="E69" s="74"/>
      <c r="F69" s="74"/>
      <c r="G69" s="307" t="s">
        <v>1339</v>
      </c>
      <c r="H69" s="304" t="s">
        <v>842</v>
      </c>
      <c r="I69" s="308"/>
      <c r="J69" s="308">
        <f>I68-J68</f>
        <v>4235.8029297285902</v>
      </c>
      <c r="K69" s="308"/>
      <c r="L69" s="308">
        <f>K68-L68</f>
        <v>1653.3456632414891</v>
      </c>
      <c r="M69" s="308"/>
      <c r="N69" s="308">
        <f>M68-N68</f>
        <v>5748.2709743811101</v>
      </c>
      <c r="O69" s="308"/>
      <c r="P69" s="308">
        <f>O68-P68</f>
        <v>7013.4532523130365</v>
      </c>
      <c r="Q69" s="308"/>
      <c r="R69" s="308">
        <f>Q68-R68</f>
        <v>0</v>
      </c>
      <c r="S69" s="308"/>
      <c r="T69" s="308">
        <f>S68-T68</f>
        <v>0</v>
      </c>
      <c r="U69" s="308"/>
      <c r="V69" s="308">
        <f>U68-V68</f>
        <v>0</v>
      </c>
      <c r="W69" s="308"/>
      <c r="X69" s="308">
        <f>W68-X68</f>
        <v>0</v>
      </c>
      <c r="Y69" s="308"/>
      <c r="Z69" s="308">
        <f>Y68-Z68</f>
        <v>0</v>
      </c>
      <c r="AA69" s="308"/>
      <c r="AB69" s="308">
        <f>AA68-AB68</f>
        <v>4723.0283707292874</v>
      </c>
      <c r="AC69" s="308"/>
      <c r="AD69" s="308">
        <f>AC68-AD68</f>
        <v>9663.9630059162664</v>
      </c>
      <c r="AE69" s="308"/>
      <c r="AF69" s="308">
        <f>AE68-AF68</f>
        <v>2565.4971762101522</v>
      </c>
      <c r="AG69" s="74"/>
      <c r="AH69" s="74"/>
      <c r="AI69" s="74"/>
      <c r="AJ69" s="74"/>
      <c r="AK69" s="74"/>
      <c r="AL69" s="74"/>
      <c r="AM69" s="74"/>
      <c r="AN69" s="74"/>
      <c r="AO69" s="74"/>
      <c r="AP69" s="74"/>
      <c r="AQ69" s="74"/>
      <c r="AR69" s="74"/>
      <c r="AS69" s="74"/>
      <c r="AT69" s="74"/>
      <c r="AU69" s="74"/>
    </row>
    <row r="70" spans="1:47" ht="15" customHeight="1" thickBot="1" x14ac:dyDescent="0.35">
      <c r="A70" s="307" t="s">
        <v>874</v>
      </c>
      <c r="B70" s="309" t="s">
        <v>1181</v>
      </c>
      <c r="C70" s="310"/>
      <c r="D70" s="310">
        <f>IF(C68=0,0,D69/C68)</f>
        <v>0.19748237378361333</v>
      </c>
      <c r="E70" s="74"/>
      <c r="F70" s="74"/>
      <c r="G70" s="307" t="s">
        <v>874</v>
      </c>
      <c r="H70" s="309" t="s">
        <v>1181</v>
      </c>
      <c r="I70" s="310"/>
      <c r="J70" s="310">
        <f>IF(I68=0,0,J69/I68)</f>
        <v>0.14947403850680477</v>
      </c>
      <c r="K70" s="310"/>
      <c r="L70" s="310">
        <f>IF(K68=0,0,L69/K68)</f>
        <v>7.0586061760891008E-2</v>
      </c>
      <c r="M70" s="310"/>
      <c r="N70" s="310">
        <f>IF(M68=0,0,N69/M68)</f>
        <v>0.19256854332987447</v>
      </c>
      <c r="O70" s="310"/>
      <c r="P70" s="310">
        <f>IF(O68=0,0,P69/O68)</f>
        <v>0.37553633444715151</v>
      </c>
      <c r="Q70" s="310"/>
      <c r="R70" s="310">
        <f>IF(Q68=0,0,R69/Q68)</f>
        <v>0</v>
      </c>
      <c r="S70" s="310"/>
      <c r="T70" s="310">
        <f>IF(S68=0,0,T69/S68)</f>
        <v>0</v>
      </c>
      <c r="U70" s="310"/>
      <c r="V70" s="310">
        <f>IF(U68=0,0,V69/U68)</f>
        <v>0</v>
      </c>
      <c r="W70" s="310"/>
      <c r="X70" s="310">
        <f>IF(W68=0,0,X69/W68)</f>
        <v>0</v>
      </c>
      <c r="Y70" s="310"/>
      <c r="Z70" s="310">
        <f>IF(Y68=0,0,Z69/Y68)</f>
        <v>0</v>
      </c>
      <c r="AA70" s="310"/>
      <c r="AB70" s="310">
        <f>IF(AA68=0,0,AB69/AA68)</f>
        <v>0.1954869534160053</v>
      </c>
      <c r="AC70" s="310"/>
      <c r="AD70" s="310">
        <f>IF(AC68=0,0,AD69/AC68)</f>
        <v>0.29294750548252618</v>
      </c>
      <c r="AE70" s="310"/>
      <c r="AF70" s="310">
        <f>IF(AE68=0,0,AF69/AE68)</f>
        <v>9.6202252959298129E-2</v>
      </c>
      <c r="AG70" s="74"/>
      <c r="AH70" s="74"/>
      <c r="AI70" s="74"/>
      <c r="AJ70" s="74"/>
      <c r="AK70" s="74"/>
      <c r="AL70" s="74"/>
      <c r="AM70" s="74"/>
      <c r="AN70" s="74"/>
      <c r="AO70" s="74"/>
      <c r="AP70" s="74"/>
      <c r="AQ70" s="74"/>
      <c r="AR70" s="74"/>
      <c r="AS70" s="74"/>
      <c r="AT70" s="74"/>
      <c r="AU70" s="74"/>
    </row>
    <row r="71" spans="1:47" ht="26.1" customHeight="1" x14ac:dyDescent="0.3">
      <c r="A71" s="350" t="s">
        <v>1202</v>
      </c>
      <c r="B71" s="351" t="s">
        <v>842</v>
      </c>
      <c r="C71" s="323">
        <f>'Расчет базового уровня'!D71</f>
        <v>292336.94460776978</v>
      </c>
      <c r="D71" s="352">
        <f>C71</f>
        <v>292336.94460776978</v>
      </c>
      <c r="E71" s="74"/>
      <c r="F71" s="74"/>
      <c r="G71" s="344" t="s">
        <v>1202</v>
      </c>
      <c r="H71" s="346" t="s">
        <v>842</v>
      </c>
      <c r="I71" s="323">
        <f>'Расчет базового уровня'!J71</f>
        <v>48204.49618532374</v>
      </c>
      <c r="J71" s="353">
        <f>I71</f>
        <v>48204.49618532374</v>
      </c>
      <c r="K71" s="323">
        <f>'Расчет базового уровня'!M71</f>
        <v>43539.544941582732</v>
      </c>
      <c r="L71" s="353">
        <f>K71</f>
        <v>43539.544941582732</v>
      </c>
      <c r="M71" s="323">
        <f>'Расчет базового уровня'!P71</f>
        <v>48204.49618532374</v>
      </c>
      <c r="N71" s="353">
        <f>M71</f>
        <v>48204.49618532374</v>
      </c>
      <c r="O71" s="323">
        <f>'Расчет базового уровня'!S71</f>
        <v>23324.756218705035</v>
      </c>
      <c r="P71" s="354">
        <f>O71</f>
        <v>23324.756218705035</v>
      </c>
      <c r="Q71" s="323">
        <f>'Расчет базового уровня'!V71</f>
        <v>0</v>
      </c>
      <c r="R71" s="335">
        <f>Q71</f>
        <v>0</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38874.59369784173</v>
      </c>
      <c r="AB71" s="353">
        <f>AA71</f>
        <v>38874.59369784173</v>
      </c>
      <c r="AC71" s="323">
        <f>'Расчет базового уровня'!AN71</f>
        <v>46649.512437410071</v>
      </c>
      <c r="AD71" s="353">
        <f>AC71</f>
        <v>46649.512437410071</v>
      </c>
      <c r="AE71" s="323">
        <f>'Расчет базового уровня'!AQ71</f>
        <v>48204.49618532374</v>
      </c>
      <c r="AF71" s="357">
        <f>AE71</f>
        <v>48204.49618532374</v>
      </c>
      <c r="AG71" s="74"/>
      <c r="AH71" s="74"/>
      <c r="AI71" s="74"/>
      <c r="AJ71" s="74"/>
      <c r="AK71" s="74"/>
      <c r="AL71" s="74"/>
      <c r="AM71" s="74"/>
      <c r="AN71" s="74"/>
      <c r="AO71" s="74"/>
      <c r="AP71" s="74"/>
      <c r="AQ71" s="74"/>
      <c r="AR71" s="74"/>
      <c r="AS71" s="74"/>
      <c r="AT71" s="74"/>
      <c r="AU71" s="74"/>
    </row>
    <row r="72" spans="1:47" ht="17.100000000000001" customHeight="1" thickBot="1" x14ac:dyDescent="0.35">
      <c r="A72" s="358" t="s">
        <v>874</v>
      </c>
      <c r="B72" s="359" t="s">
        <v>1184</v>
      </c>
      <c r="C72" s="360">
        <f>0.86*C71/1000</f>
        <v>251.40977236268202</v>
      </c>
      <c r="D72" s="361">
        <f>C72</f>
        <v>251.40977236268202</v>
      </c>
      <c r="E72" s="74"/>
      <c r="F72" s="74"/>
      <c r="G72" s="362" t="s">
        <v>874</v>
      </c>
      <c r="H72" s="363" t="s">
        <v>1184</v>
      </c>
      <c r="I72" s="364"/>
      <c r="J72" s="365">
        <f>0.86*J71/1000</f>
        <v>41.455866719378413</v>
      </c>
      <c r="K72" s="364"/>
      <c r="L72" s="365">
        <f>0.86*L71/1000</f>
        <v>37.444008649761152</v>
      </c>
      <c r="M72" s="364"/>
      <c r="N72" s="366">
        <f>0.86*N71/1000</f>
        <v>41.455866719378413</v>
      </c>
      <c r="O72" s="364"/>
      <c r="P72" s="367">
        <f>0.86*P71/1000</f>
        <v>20.059290348086332</v>
      </c>
      <c r="Q72" s="364"/>
      <c r="R72" s="368">
        <f>0.86*R71/1000</f>
        <v>0</v>
      </c>
      <c r="S72" s="364"/>
      <c r="T72" s="369">
        <f>0.86*T71/1000</f>
        <v>0</v>
      </c>
      <c r="U72" s="364"/>
      <c r="V72" s="367">
        <f>0.86*V71/1000</f>
        <v>0</v>
      </c>
      <c r="W72" s="364"/>
      <c r="X72" s="370">
        <f>0.86*X71/1000</f>
        <v>0</v>
      </c>
      <c r="Y72" s="364"/>
      <c r="Z72" s="370">
        <f>0.86*Z71/1000</f>
        <v>0</v>
      </c>
      <c r="AA72" s="364"/>
      <c r="AB72" s="369">
        <f>0.86*AB71/1000</f>
        <v>33.43215058014389</v>
      </c>
      <c r="AC72" s="364"/>
      <c r="AD72" s="369">
        <f>0.86*AD71/1000</f>
        <v>40.118580696172664</v>
      </c>
      <c r="AE72" s="364"/>
      <c r="AF72" s="371">
        <f>0.86*AF71/1000</f>
        <v>41.455866719378413</v>
      </c>
      <c r="AG72" s="74"/>
      <c r="AH72" s="74"/>
      <c r="AI72" s="74"/>
      <c r="AJ72" s="74"/>
      <c r="AK72" s="74"/>
      <c r="AL72" s="74"/>
      <c r="AM72" s="74"/>
      <c r="AN72" s="74"/>
      <c r="AO72" s="74"/>
      <c r="AP72" s="74"/>
      <c r="AQ72" s="74"/>
      <c r="AR72" s="74"/>
      <c r="AS72" s="74"/>
      <c r="AT72" s="74"/>
      <c r="AU72" s="74"/>
    </row>
    <row r="73" spans="1:47" ht="8.25" customHeight="1" x14ac:dyDescent="0.3">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3">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5">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3">
      <c r="A76" s="350" t="s">
        <v>1208</v>
      </c>
      <c r="B76" s="351" t="s">
        <v>1190</v>
      </c>
      <c r="C76" s="323">
        <f>'Расчет базового уровня'!D76</f>
        <v>182.7762380714193</v>
      </c>
      <c r="D76" s="393">
        <f>D35/('Ввод исходных данных'!$G$45+'Ввод исходных данных'!$D$23)</f>
        <v>74.882201720709347</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6" thickBot="1" x14ac:dyDescent="0.35">
      <c r="A77" s="385" t="s">
        <v>874</v>
      </c>
      <c r="B77" s="397" t="s">
        <v>1209</v>
      </c>
      <c r="C77" s="398">
        <f>C76*0.86/1000</f>
        <v>0.15718756474142059</v>
      </c>
      <c r="D77" s="399">
        <f>D76*0.86/1000</f>
        <v>6.4398693479810032E-2</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3">
      <c r="A80" s="407">
        <f>D38</f>
        <v>396615.7317759007</v>
      </c>
      <c r="B80" s="408">
        <f>D62</f>
        <v>227847.05776164393</v>
      </c>
      <c r="C80" s="408">
        <f>D65</f>
        <v>33480.602206356205</v>
      </c>
      <c r="D80" s="409">
        <f>D68</f>
        <v>146168.47230388489</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5">
      <c r="A82" s="1785" t="s">
        <v>1210</v>
      </c>
      <c r="B82" s="1785"/>
      <c r="C82" s="1785"/>
      <c r="D82" s="1785"/>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 customHeight="1" x14ac:dyDescent="0.3">
      <c r="A83" s="1815" t="s">
        <v>834</v>
      </c>
      <c r="B83" s="1817" t="s">
        <v>1174</v>
      </c>
      <c r="C83" s="1821" t="s">
        <v>1338</v>
      </c>
      <c r="D83" s="1819" t="s">
        <v>1402</v>
      </c>
      <c r="E83" s="74"/>
      <c r="F83" s="74"/>
      <c r="G83" s="1827" t="s">
        <v>834</v>
      </c>
      <c r="H83" s="1818" t="s">
        <v>1174</v>
      </c>
      <c r="I83" s="1828" t="s">
        <v>488</v>
      </c>
      <c r="J83" s="1829"/>
      <c r="K83" s="1828" t="s">
        <v>489</v>
      </c>
      <c r="L83" s="1829"/>
      <c r="M83" s="1828" t="s">
        <v>490</v>
      </c>
      <c r="N83" s="1829"/>
      <c r="O83" s="1828" t="s">
        <v>491</v>
      </c>
      <c r="P83" s="1829"/>
      <c r="Q83" s="1828" t="s">
        <v>805</v>
      </c>
      <c r="R83" s="1829"/>
      <c r="S83" s="1828" t="s">
        <v>806</v>
      </c>
      <c r="T83" s="1829"/>
      <c r="U83" s="1828" t="s">
        <v>807</v>
      </c>
      <c r="V83" s="1829"/>
      <c r="W83" s="1828" t="s">
        <v>808</v>
      </c>
      <c r="X83" s="1829"/>
      <c r="Y83" s="1828" t="s">
        <v>809</v>
      </c>
      <c r="Z83" s="1829"/>
      <c r="AA83" s="1828" t="s">
        <v>482</v>
      </c>
      <c r="AB83" s="1829"/>
      <c r="AC83" s="1828" t="s">
        <v>486</v>
      </c>
      <c r="AD83" s="1829"/>
      <c r="AE83" s="1828" t="s">
        <v>487</v>
      </c>
      <c r="AF83" s="1829"/>
      <c r="AG83" s="74"/>
      <c r="AH83" s="74"/>
      <c r="AI83" s="74"/>
      <c r="AJ83" s="74"/>
      <c r="AK83" s="74"/>
      <c r="AL83" s="74"/>
      <c r="AM83" s="74"/>
      <c r="AN83" s="74"/>
      <c r="AO83" s="74"/>
      <c r="AP83" s="74"/>
      <c r="AQ83" s="74"/>
      <c r="AR83" s="74"/>
      <c r="AS83" s="74"/>
      <c r="AT83" s="74"/>
      <c r="AU83" s="74"/>
      <c r="AV83" s="74"/>
      <c r="AW83" s="74"/>
    </row>
    <row r="84" spans="1:55" ht="45.75" customHeight="1" x14ac:dyDescent="0.3">
      <c r="A84" s="1816"/>
      <c r="B84" s="1818"/>
      <c r="C84" s="1812"/>
      <c r="D84" s="1820"/>
      <c r="E84" s="74"/>
      <c r="F84" s="74"/>
      <c r="G84" s="1827"/>
      <c r="H84" s="1818"/>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3">
      <c r="A85" s="415" t="s">
        <v>1212</v>
      </c>
      <c r="B85" s="416" t="s">
        <v>842</v>
      </c>
      <c r="C85" s="417">
        <f>'Расчет базового уровня'!D85</f>
        <v>392774.92352469225</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392774.92352469225</v>
      </c>
      <c r="E85" s="317"/>
      <c r="F85" s="419"/>
      <c r="G85" s="420" t="s">
        <v>1213</v>
      </c>
      <c r="H85" s="416" t="s">
        <v>842</v>
      </c>
      <c r="I85" s="421">
        <f>'Расчет базового уровня'!J85</f>
        <v>34686.336602999996</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34686.336602999996</v>
      </c>
      <c r="K85" s="421">
        <f>'Расчет базового уровня'!L85</f>
        <v>33577.835945999999</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33577.835945999999</v>
      </c>
      <c r="M85" s="421">
        <f>'Расчет базового уровня'!N85</f>
        <v>31667.482842000001</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31667.482842000005</v>
      </c>
      <c r="O85" s="421">
        <f>'Расчет базового уровня'!P85</f>
        <v>33051.966887999995</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33051.966887999995</v>
      </c>
      <c r="Q85" s="421">
        <f>'Расчет базового уровня'!R85</f>
        <v>38835.103014</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38835.103014</v>
      </c>
      <c r="S85" s="421">
        <f>'Расчет базового уровня'!T85</f>
        <v>34647.842465999995</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34647.842465999995</v>
      </c>
      <c r="U85" s="421">
        <f>'Расчет базового уровня'!V85</f>
        <v>32898.524157</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32898.524157</v>
      </c>
      <c r="W85" s="421">
        <f>'Расчет базового уровня'!X85</f>
        <v>29126.573235</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29126.573234999996</v>
      </c>
      <c r="Y85" s="421">
        <f>'Расчет базового уровня'!Z85</f>
        <v>31034.969010000001</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31034.969010000004</v>
      </c>
      <c r="AA85" s="421">
        <f>'Расчет базового уровня'!AB85</f>
        <v>29777.355471000003</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29777.355471000006</v>
      </c>
      <c r="AC85" s="421">
        <f>'Расчет базового уровня'!AD85</f>
        <v>31260.358409999993</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31260.358409999997</v>
      </c>
      <c r="AE85" s="421">
        <f>'Расчет базового уровня'!AF85</f>
        <v>30975.240818999999</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30975.240818999999</v>
      </c>
      <c r="AG85" s="74"/>
      <c r="AH85" s="74"/>
      <c r="AI85" s="74"/>
      <c r="AJ85" s="74"/>
      <c r="AK85" s="74"/>
      <c r="AL85" s="74"/>
      <c r="AM85" s="74"/>
      <c r="AN85" s="74"/>
      <c r="AO85" s="74"/>
      <c r="AP85" s="74"/>
      <c r="AQ85" s="74"/>
      <c r="AR85" s="74"/>
      <c r="AS85" s="74"/>
      <c r="AT85" s="74"/>
      <c r="AU85" s="74"/>
      <c r="AV85" s="74"/>
      <c r="AW85" s="74"/>
    </row>
    <row r="86" spans="1:55" x14ac:dyDescent="0.3">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392774.92352469225</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3">
      <c r="A87" s="422" t="s">
        <v>874</v>
      </c>
      <c r="B87" s="416" t="s">
        <v>1181</v>
      </c>
      <c r="C87" s="310"/>
      <c r="D87" s="310">
        <f>IF(C85=0,0,D86/C85)</f>
        <v>0</v>
      </c>
      <c r="E87" s="317">
        <f>C85*D90/C90*(1+IF('Список мероприятий'!$AB$38=1,D174,'Расчет базового уровня'!$D$176))/(1+'Расчет базового уровня'!$D$176)+D178/0.86*1000</f>
        <v>392774.92352469225</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3">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3">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3">
      <c r="A90" s="415" t="s">
        <v>1216</v>
      </c>
      <c r="B90" s="416" t="s">
        <v>1217</v>
      </c>
      <c r="C90" s="417">
        <f>'Расчет базового уровня'!D90</f>
        <v>3795.2414999999996</v>
      </c>
      <c r="D90" s="261">
        <f>C90*IF(AND('Система ГВС'!$F$17=0,'Список мероприятий'!$AB$39=1),0.9,1)</f>
        <v>3795.2414999999996</v>
      </c>
      <c r="E90" s="74"/>
      <c r="F90" s="74"/>
      <c r="G90" s="431" t="s">
        <v>1219</v>
      </c>
      <c r="H90" s="416" t="s">
        <v>1217</v>
      </c>
      <c r="I90" s="421">
        <f>'Расчет базового уровня'!J90</f>
        <v>315.52849999999995</v>
      </c>
      <c r="J90" s="261">
        <f>I90*IF(AND('Система ГВС'!$F$17=0,'Список мероприятий'!$AB$39=1),0.9,1)</f>
        <v>315.52849999999995</v>
      </c>
      <c r="K90" s="421">
        <f>'Расчет базового уровня'!L90</f>
        <v>301.08699999999999</v>
      </c>
      <c r="L90" s="261">
        <f>K90*IF(AND('Система ГВС'!$F$17=0,'Список мероприятий'!$AB$39=1),0.9,1)</f>
        <v>301.08699999999999</v>
      </c>
      <c r="M90" s="421">
        <f>'Расчет базового уровня'!N90</f>
        <v>276.19900000000001</v>
      </c>
      <c r="N90" s="261">
        <f>M90*IF(AND('Система ГВС'!$F$17=0,'Список мероприятий'!$AB$39=1),0.9,1)</f>
        <v>276.19900000000001</v>
      </c>
      <c r="O90" s="421">
        <f>'Расчет базового уровня'!P90</f>
        <v>294.23599999999999</v>
      </c>
      <c r="P90" s="261">
        <f>O90*IF(AND('Система ГВС'!$F$17=0,'Список мероприятий'!$AB$39=1),0.9,1)</f>
        <v>294.23599999999999</v>
      </c>
      <c r="Q90" s="421">
        <f>'Расчет базового уровня'!R90</f>
        <v>451.70699999999994</v>
      </c>
      <c r="R90" s="261">
        <f>Q90*IF(AND('Система ГВС'!$F$17=0,'Список мероприятий'!$AB$39=1),0.9,1)</f>
        <v>451.70699999999994</v>
      </c>
      <c r="S90" s="421">
        <f>'Расчет базового уровня'!T90</f>
        <v>385.03300000000002</v>
      </c>
      <c r="T90" s="261">
        <f>S90*IF(AND('Система ГВС'!$F$17=0,'Список мероприятий'!$AB$39=1),0.9,1)</f>
        <v>385.03300000000002</v>
      </c>
      <c r="U90" s="421">
        <f>'Расчет базового уровня'!V90</f>
        <v>357.17849999999999</v>
      </c>
      <c r="V90" s="261">
        <f>U90*IF(AND('Система ГВС'!$F$17=0,'Список мероприятий'!$AB$39=1),0.9,1)</f>
        <v>357.17849999999999</v>
      </c>
      <c r="W90" s="421">
        <f>'Расчет базового уровня'!X90</f>
        <v>297.11750000000001</v>
      </c>
      <c r="X90" s="261">
        <f>W90*IF(AND('Система ГВС'!$F$17=0,'Список мероприятий'!$AB$39=1),0.9,1)</f>
        <v>297.11750000000001</v>
      </c>
      <c r="Y90" s="421">
        <f>'Расчет базового уровня'!Z90</f>
        <v>327.505</v>
      </c>
      <c r="Z90" s="261">
        <f>Y90*IF(AND('Система ГВС'!$F$17=0,'Список мероприятий'!$AB$39=1),0.9,1)</f>
        <v>327.505</v>
      </c>
      <c r="AA90" s="421">
        <f>'Расчет базового уровня'!AB90</f>
        <v>251.57450000000003</v>
      </c>
      <c r="AB90" s="261">
        <f>AA90*IF(AND('Система ГВС'!$F$17=0,'Список мероприятий'!$AB$39=1),0.9,1)</f>
        <v>251.57450000000003</v>
      </c>
      <c r="AC90" s="421">
        <f>'Расчет базового уровня'!AD90</f>
        <v>270.89499999999998</v>
      </c>
      <c r="AD90" s="261">
        <f>AC90*IF(AND('Система ГВС'!$F$17=0,'Список мероприятий'!$AB$39=1),0.9,1)</f>
        <v>270.89499999999998</v>
      </c>
      <c r="AE90" s="421">
        <f>'Расчет базового уровня'!AF90</f>
        <v>267.18049999999999</v>
      </c>
      <c r="AF90" s="261">
        <f>AE90*IF(AND('Система ГВС'!$F$17=0,'Список мероприятий'!$AB$39=1),0.9,1)</f>
        <v>267.18049999999999</v>
      </c>
      <c r="AG90" s="74"/>
      <c r="AH90" s="74"/>
      <c r="AI90" s="74"/>
      <c r="AJ90" s="74"/>
      <c r="AK90" s="74"/>
      <c r="AL90" s="74"/>
      <c r="AM90" s="74"/>
      <c r="AN90" s="74"/>
      <c r="AO90" s="74"/>
      <c r="AP90" s="74"/>
      <c r="AQ90" s="74"/>
      <c r="AR90" s="74"/>
      <c r="AS90" s="74"/>
      <c r="AT90" s="74"/>
      <c r="AU90" s="74"/>
      <c r="AV90" s="74"/>
      <c r="AW90" s="74"/>
    </row>
    <row r="91" spans="1:55" x14ac:dyDescent="0.3">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3">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3">
      <c r="A93" s="432" t="s">
        <v>1221</v>
      </c>
      <c r="B93" s="309" t="s">
        <v>1190</v>
      </c>
      <c r="C93" s="417">
        <f>'Расчет базового уровня'!D93</f>
        <v>57.470286129681064</v>
      </c>
      <c r="D93" s="433">
        <f>D85/('Ввод исходных данных'!$G$45+'Ввод исходных данных'!$D$23)</f>
        <v>57.470286129681064</v>
      </c>
      <c r="E93" s="74"/>
      <c r="F93" s="74"/>
      <c r="G93" s="74"/>
      <c r="H93" s="74"/>
      <c r="I93" s="74">
        <f>IF(G146&gt;14,1,0)</f>
        <v>1</v>
      </c>
      <c r="J93" s="74"/>
      <c r="K93" s="74">
        <f>IF(H146&gt;14,1,0)</f>
        <v>1</v>
      </c>
      <c r="L93" s="74"/>
      <c r="M93" s="74">
        <f>IF(I146&gt;14,1,0)</f>
        <v>1</v>
      </c>
      <c r="O93" s="74">
        <f>IF(J146&gt;14,1,0)</f>
        <v>1</v>
      </c>
      <c r="Q93" s="74">
        <f>IF(K146&gt;14,1,0)</f>
        <v>0</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ht="15" x14ac:dyDescent="0.3">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 thickBot="1" x14ac:dyDescent="0.35">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3">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2" thickBot="1" x14ac:dyDescent="0.35">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3">
      <c r="A98" s="1822" t="s">
        <v>834</v>
      </c>
      <c r="B98" s="1817" t="s">
        <v>1174</v>
      </c>
      <c r="C98" s="1826" t="s">
        <v>1338</v>
      </c>
      <c r="D98" s="1824" t="s">
        <v>1402</v>
      </c>
      <c r="E98" s="74"/>
      <c r="F98" s="74"/>
      <c r="G98" s="1822" t="s">
        <v>834</v>
      </c>
      <c r="H98" s="1817" t="s">
        <v>1174</v>
      </c>
      <c r="I98" s="1817" t="s">
        <v>488</v>
      </c>
      <c r="J98" s="1817"/>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3">
      <c r="A99" s="1823"/>
      <c r="B99" s="1818"/>
      <c r="C99" s="1827"/>
      <c r="D99" s="1825"/>
      <c r="E99" s="74"/>
      <c r="F99" s="74"/>
      <c r="G99" s="1823"/>
      <c r="H99" s="1818"/>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3">
      <c r="A100" s="446" t="s">
        <v>1224</v>
      </c>
      <c r="B100" s="416" t="s">
        <v>842</v>
      </c>
      <c r="C100" s="424">
        <f>'Расчет базового уровня'!D100</f>
        <v>16488</v>
      </c>
      <c r="D100" s="447">
        <f>D102+D104+D106+D111</f>
        <v>16637.495968879794</v>
      </c>
      <c r="E100" s="317"/>
      <c r="F100" s="74"/>
      <c r="G100" s="446" t="s">
        <v>1225</v>
      </c>
      <c r="H100" s="416" t="s">
        <v>842</v>
      </c>
      <c r="I100" s="424">
        <f>'Расчет базового уровня'!J100</f>
        <v>1896</v>
      </c>
      <c r="J100" s="448">
        <f>J102+J104+J106+J111</f>
        <v>1478.8418770245144</v>
      </c>
      <c r="K100" s="424">
        <f>'Расчет базового уровня'!L100</f>
        <v>1405.9999999999998</v>
      </c>
      <c r="L100" s="448">
        <f>L102+L104+L106+L111</f>
        <v>1447.1363982509042</v>
      </c>
      <c r="M100" s="424">
        <f>'Расчет базового уровня'!N100</f>
        <v>1677</v>
      </c>
      <c r="N100" s="448">
        <f>N102+N104+N106+N111</f>
        <v>1478.8418770245144</v>
      </c>
      <c r="O100" s="424">
        <f>'Расчет базового уровня'!P100</f>
        <v>1319</v>
      </c>
      <c r="P100" s="448">
        <f>P102+P104+P106+P111</f>
        <v>1370.186528621442</v>
      </c>
      <c r="Q100" s="424">
        <f>'Расчет базового уровня'!R100</f>
        <v>597</v>
      </c>
      <c r="R100" s="448">
        <f>R102+R104+R106+R111</f>
        <v>1291.7428481194986</v>
      </c>
      <c r="S100" s="424">
        <f>'Расчет базового уровня'!T100</f>
        <v>1438</v>
      </c>
      <c r="T100" s="448">
        <f>T102+T104+T106+T111</f>
        <v>1287.209807740285</v>
      </c>
      <c r="U100" s="424">
        <f>'Расчет базового уровня'!V100</f>
        <v>820</v>
      </c>
      <c r="V100" s="449">
        <f>V102+V104+V106+V111</f>
        <v>1228.280282810508</v>
      </c>
      <c r="W100" s="424">
        <f>'Расчет базового уровня'!X100</f>
        <v>1237</v>
      </c>
      <c r="X100" s="448">
        <f>X102+X104+X106+X111</f>
        <v>1291.7428481194986</v>
      </c>
      <c r="Y100" s="424">
        <f>'Расчет базового уровня'!Z100</f>
        <v>1294</v>
      </c>
      <c r="Z100" s="448">
        <f>Z102+Z104+Z106+Z111</f>
        <v>1287.209807740285</v>
      </c>
      <c r="AA100" s="424">
        <f>'Расчет базового уровня'!AB100</f>
        <v>930</v>
      </c>
      <c r="AB100" s="450">
        <f>AB102+AB104+AB106+AB111</f>
        <v>1430.0373829214268</v>
      </c>
      <c r="AC100" s="424">
        <f>'Расчет базового уровня'!AD100</f>
        <v>2606.9999999999995</v>
      </c>
      <c r="AD100" s="424">
        <f>AD102+AD104+AD106+AD111</f>
        <v>1468.2733840999776</v>
      </c>
      <c r="AE100" s="424">
        <f>'Расчет базового уровня'!AF100</f>
        <v>1267</v>
      </c>
      <c r="AF100" s="451">
        <f>AF102+AF104+AF106+AF111</f>
        <v>1478.8418770245144</v>
      </c>
      <c r="AG100" s="74"/>
      <c r="AH100" s="74"/>
      <c r="AI100" s="74"/>
      <c r="AJ100" s="74"/>
      <c r="AK100" s="74"/>
      <c r="AL100" s="74"/>
      <c r="AM100" s="74"/>
      <c r="AN100" s="74"/>
      <c r="AO100" s="74"/>
      <c r="AP100" s="74"/>
      <c r="AQ100" s="74"/>
      <c r="AR100" s="74"/>
    </row>
    <row r="101" spans="1:51" ht="18.899999999999999" customHeight="1" x14ac:dyDescent="0.3">
      <c r="A101" s="452" t="s">
        <v>1340</v>
      </c>
      <c r="B101" s="416" t="s">
        <v>1181</v>
      </c>
      <c r="C101" s="428"/>
      <c r="D101" s="453">
        <f>IF(C100=0,0,D100/C100-1)</f>
        <v>9.0669559000360334E-3</v>
      </c>
      <c r="E101" s="74"/>
      <c r="F101" s="74"/>
      <c r="G101" s="452" t="s">
        <v>1340</v>
      </c>
      <c r="H101" s="416" t="s">
        <v>1181</v>
      </c>
      <c r="I101" s="428"/>
      <c r="J101" s="425">
        <f>IF(I100=0,0,J100/I100-1)</f>
        <v>-0.22002010705458108</v>
      </c>
      <c r="K101" s="428"/>
      <c r="L101" s="425">
        <f>IF(K100=0,0,L100/K100-1)</f>
        <v>2.9257751245308938E-2</v>
      </c>
      <c r="M101" s="428"/>
      <c r="N101" s="425">
        <f>IF(M100=0,0,N100/M100-1)</f>
        <v>-0.11816226772539395</v>
      </c>
      <c r="O101" s="428"/>
      <c r="P101" s="425">
        <f>IF(O100=0,0,P100/O100-1)</f>
        <v>3.8807072495407047E-2</v>
      </c>
      <c r="Q101" s="428"/>
      <c r="R101" s="425">
        <f>IF(Q100=0,0,R100/Q100-1)</f>
        <v>1.1637233636842521</v>
      </c>
      <c r="S101" s="428"/>
      <c r="T101" s="425">
        <f>IF(S100=0,0,T100/S100-1)</f>
        <v>-0.10486105164097015</v>
      </c>
      <c r="U101" s="428"/>
      <c r="V101" s="425">
        <f>IF(U100=0,0,V100/U100-1)</f>
        <v>0.49790278391525367</v>
      </c>
      <c r="W101" s="428"/>
      <c r="X101" s="425">
        <f>IF(W100=0,0,X100/W100-1)</f>
        <v>4.4254525561437941E-2</v>
      </c>
      <c r="Y101" s="428"/>
      <c r="Z101" s="425">
        <f>IF(Y100=0,0,Z100/Y100-1)</f>
        <v>-5.2474437864876711E-3</v>
      </c>
      <c r="AA101" s="428"/>
      <c r="AB101" s="425">
        <f>IF(AA100=0,0,AB100/AA100-1)</f>
        <v>0.53767460529185684</v>
      </c>
      <c r="AC101" s="428"/>
      <c r="AD101" s="425">
        <f>IF(AC100=0,0,AD100/AC100-1)</f>
        <v>-0.4367957866896901</v>
      </c>
      <c r="AE101" s="428"/>
      <c r="AF101" s="453">
        <f>IF(AE100=0,0,AF100/AE100-1)</f>
        <v>0.16719958723323947</v>
      </c>
      <c r="AG101" s="74"/>
      <c r="AH101" s="74"/>
      <c r="AI101" s="74"/>
      <c r="AJ101" s="74"/>
      <c r="AK101" s="74"/>
      <c r="AL101" s="74"/>
      <c r="AM101" s="74"/>
      <c r="AN101" s="74"/>
      <c r="AO101" s="74"/>
      <c r="AP101" s="74"/>
      <c r="AQ101" s="74"/>
      <c r="AR101" s="74"/>
    </row>
    <row r="102" spans="1:51" ht="26.4" customHeight="1" x14ac:dyDescent="0.3">
      <c r="A102" s="454" t="s">
        <v>1226</v>
      </c>
      <c r="B102" s="416" t="s">
        <v>842</v>
      </c>
      <c r="C102" s="424">
        <f>'Расчет базового уровня'!D102</f>
        <v>3042.7750684660314</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3042.7750684660314</v>
      </c>
      <c r="E102" s="455"/>
      <c r="F102" s="74"/>
      <c r="G102" s="454" t="s">
        <v>1226</v>
      </c>
      <c r="H102" s="416" t="s">
        <v>842</v>
      </c>
      <c r="I102" s="424">
        <f>'Расчет базового уровня'!J102</f>
        <v>346.53534198228812</v>
      </c>
      <c r="J102" s="424">
        <f>$D$102/12</f>
        <v>253.56458903883595</v>
      </c>
      <c r="K102" s="424">
        <f>'Расчет базового уровня'!L102</f>
        <v>261.28045984649629</v>
      </c>
      <c r="L102" s="424">
        <f>$D$102/12</f>
        <v>253.56458903883595</v>
      </c>
      <c r="M102" s="424">
        <f>'Расчет базового уровня'!N102</f>
        <v>306.50831672167573</v>
      </c>
      <c r="N102" s="424">
        <f>$D$102/12</f>
        <v>253.56458903883595</v>
      </c>
      <c r="O102" s="424">
        <f>'Расчет базового уровня'!P102</f>
        <v>242.40682811421809</v>
      </c>
      <c r="P102" s="424">
        <f>$D$102/12</f>
        <v>253.56458903883595</v>
      </c>
      <c r="Q102" s="424">
        <f>'Расчет базового уровня'!R102</f>
        <v>109.11476749125843</v>
      </c>
      <c r="R102" s="424">
        <f>$D$102/12</f>
        <v>253.56458903883595</v>
      </c>
      <c r="S102" s="424">
        <f>'Расчет базового уровня'!T102</f>
        <v>264.2767390661453</v>
      </c>
      <c r="T102" s="424">
        <f>$D$102/12</f>
        <v>253.56458903883595</v>
      </c>
      <c r="U102" s="424">
        <f>'Расчет базового уровня'!V102</f>
        <v>162.35123367198835</v>
      </c>
      <c r="V102" s="450">
        <f>$D$102/12</f>
        <v>253.56458903883595</v>
      </c>
      <c r="W102" s="424">
        <f>'Расчет базового уровня'!X102</f>
        <v>226.08872259076497</v>
      </c>
      <c r="X102" s="424">
        <f>$D$102/12</f>
        <v>253.56458903883595</v>
      </c>
      <c r="Y102" s="424">
        <f>'Расчет базового уровня'!Z102</f>
        <v>237.81230900667035</v>
      </c>
      <c r="Z102" s="424">
        <f>$D$102/12</f>
        <v>253.56458903883595</v>
      </c>
      <c r="AA102" s="424">
        <f>'Расчет базового уровня'!AB102</f>
        <v>169.97777850397048</v>
      </c>
      <c r="AB102" s="450">
        <f>$D$102/12</f>
        <v>253.56458903883595</v>
      </c>
      <c r="AC102" s="424">
        <f>'Расчет базового уровня'!AD102</f>
        <v>479.11645253507709</v>
      </c>
      <c r="AD102" s="424">
        <f>$D$102/12</f>
        <v>253.56458903883595</v>
      </c>
      <c r="AE102" s="424">
        <f>'Расчет базового уровня'!AF102</f>
        <v>231.57187673605438</v>
      </c>
      <c r="AF102" s="451">
        <f>$D$102/12</f>
        <v>253.56458903883595</v>
      </c>
      <c r="AG102" s="74"/>
      <c r="AH102" s="74"/>
      <c r="AI102" s="74"/>
      <c r="AJ102" s="74"/>
      <c r="AK102" s="74"/>
      <c r="AL102" s="74"/>
      <c r="AM102" s="74"/>
      <c r="AN102" s="74"/>
      <c r="AO102" s="74"/>
      <c r="AP102" s="74"/>
      <c r="AQ102" s="74"/>
      <c r="AR102" s="74"/>
    </row>
    <row r="103" spans="1:51" x14ac:dyDescent="0.3">
      <c r="A103" s="452" t="s">
        <v>874</v>
      </c>
      <c r="B103" s="416" t="s">
        <v>1181</v>
      </c>
      <c r="C103" s="428"/>
      <c r="D103" s="453">
        <f>IF(C102=0,0,D102/C102-1)</f>
        <v>0</v>
      </c>
      <c r="E103" s="74"/>
      <c r="F103" s="74"/>
      <c r="G103" s="452" t="s">
        <v>1340</v>
      </c>
      <c r="H103" s="416" t="s">
        <v>1181</v>
      </c>
      <c r="I103" s="428"/>
      <c r="J103" s="425">
        <f>IF(I102=0,0,J102/I102-1)</f>
        <v>-0.26828649687397266</v>
      </c>
      <c r="K103" s="428"/>
      <c r="L103" s="425">
        <f>IF(K102=0,0,L102/K102-1)</f>
        <v>-2.9530990615193597E-2</v>
      </c>
      <c r="M103" s="428"/>
      <c r="N103" s="425">
        <f>IF(M102=0,0,N102/M102-1)</f>
        <v>-0.1727317817966918</v>
      </c>
      <c r="O103" s="428"/>
      <c r="P103" s="425">
        <f>IF(O102=0,0,P102/O102-1)</f>
        <v>4.6029070267610273E-2</v>
      </c>
      <c r="Q103" s="428"/>
      <c r="R103" s="425">
        <f>IF(Q102=0,0,R102/Q102-1)</f>
        <v>1.3238338390736146</v>
      </c>
      <c r="S103" s="428"/>
      <c r="T103" s="425">
        <f>IF(S102=0,0,T102/S102-1)</f>
        <v>-4.0533836103631593E-2</v>
      </c>
      <c r="U103" s="428"/>
      <c r="V103" s="425">
        <f>IF(U102=0,0,V102/U102-1)</f>
        <v>0.56182730062361896</v>
      </c>
      <c r="W103" s="428"/>
      <c r="X103" s="425">
        <f>IF(W102=0,0,X102/W102-1)</f>
        <v>0.12152692152542288</v>
      </c>
      <c r="Y103" s="428"/>
      <c r="Z103" s="425">
        <f>IF(Y102=0,0,Z102/Y102-1)</f>
        <v>6.6238287235686144E-2</v>
      </c>
      <c r="AA103" s="428"/>
      <c r="AB103" s="425">
        <f>IF(AA102=0,0,AB102/AA102-1)</f>
        <v>0.4917513999214489</v>
      </c>
      <c r="AC103" s="428"/>
      <c r="AD103" s="425">
        <f>IF(AC102=0,0,AD102/AC102-1)</f>
        <v>-0.47076626632797181</v>
      </c>
      <c r="AE103" s="428"/>
      <c r="AF103" s="453">
        <f>IF(AE102=0,0,AF102/AE102-1)</f>
        <v>9.49714300923028E-2</v>
      </c>
      <c r="AG103" s="74"/>
      <c r="AH103" s="74"/>
      <c r="AI103" s="74"/>
      <c r="AJ103" s="74"/>
      <c r="AK103" s="74"/>
      <c r="AL103" s="74"/>
      <c r="AM103" s="74"/>
      <c r="AN103" s="74"/>
      <c r="AO103" s="74"/>
      <c r="AP103" s="74"/>
      <c r="AQ103" s="74"/>
      <c r="AR103" s="74"/>
    </row>
    <row r="104" spans="1:51" x14ac:dyDescent="0.3">
      <c r="A104" s="454" t="s">
        <v>1233</v>
      </c>
      <c r="B104" s="416" t="s">
        <v>842</v>
      </c>
      <c r="C104" s="424">
        <f>'Расчет базового уровня'!D104</f>
        <v>10771.848087900486</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10771.848087900486</v>
      </c>
      <c r="E104" s="317"/>
      <c r="F104" s="456"/>
      <c r="G104" s="454" t="s">
        <v>1233</v>
      </c>
      <c r="H104" s="416" t="s">
        <v>842</v>
      </c>
      <c r="I104" s="424">
        <f>'Расчет базового уровня'!J104</f>
        <v>1226.7834384497239</v>
      </c>
      <c r="J104" s="424">
        <f>D104/12</f>
        <v>897.65400732504042</v>
      </c>
      <c r="K104" s="424">
        <f>'Расчет базового уровня'!L104</f>
        <v>924.96926603980444</v>
      </c>
      <c r="L104" s="424">
        <f>J104</f>
        <v>897.65400732504042</v>
      </c>
      <c r="M104" s="424">
        <f>'Расчет базового уровня'!N104</f>
        <v>1085.0821868566386</v>
      </c>
      <c r="N104" s="428">
        <f>L104</f>
        <v>897.65400732504042</v>
      </c>
      <c r="O104" s="424">
        <f>'Расчет базового уровня'!P104</f>
        <v>858.15397759011603</v>
      </c>
      <c r="P104" s="428">
        <f>N104</f>
        <v>897.65400732504042</v>
      </c>
      <c r="Q104" s="424">
        <f>'Расчет базового уровня'!R104</f>
        <v>386.2814940688213</v>
      </c>
      <c r="R104" s="428">
        <f>P104</f>
        <v>897.65400732504042</v>
      </c>
      <c r="S104" s="424">
        <f>'Расчет базового уровня'!T104</f>
        <v>935.57651233857973</v>
      </c>
      <c r="T104" s="428">
        <f>R104</f>
        <v>897.65400732504042</v>
      </c>
      <c r="U104" s="424">
        <f>'Расчет базового уровня'!V104</f>
        <v>574.74600870827283</v>
      </c>
      <c r="V104" s="457">
        <f>T104</f>
        <v>897.65400732504042</v>
      </c>
      <c r="W104" s="424">
        <f>'Расчет базового уровня'!X104</f>
        <v>800.38560831345399</v>
      </c>
      <c r="X104" s="428">
        <f>V104</f>
        <v>897.65400732504042</v>
      </c>
      <c r="Y104" s="424">
        <f>'Расчет базового уровня'!Z104</f>
        <v>841.88873919758157</v>
      </c>
      <c r="Z104" s="428">
        <f>X104</f>
        <v>897.65400732504042</v>
      </c>
      <c r="AA104" s="424">
        <f>'Расчет базового уровня'!AB104</f>
        <v>601.74504101173181</v>
      </c>
      <c r="AB104" s="457">
        <f>Z104</f>
        <v>897.65400732504042</v>
      </c>
      <c r="AC104" s="424">
        <f>'Расчет базового уровня'!AD104</f>
        <v>1696.1390595734892</v>
      </c>
      <c r="AD104" s="428">
        <f>AB104</f>
        <v>897.65400732504042</v>
      </c>
      <c r="AE104" s="424">
        <f>'Расчет базового уровня'!AF104</f>
        <v>819.79673866867086</v>
      </c>
      <c r="AF104" s="458">
        <f>AD104</f>
        <v>897.65400732504042</v>
      </c>
      <c r="AG104" s="74"/>
      <c r="AH104" s="74"/>
      <c r="AI104" s="74"/>
      <c r="AJ104" s="74"/>
      <c r="AK104" s="74"/>
      <c r="AL104" s="74"/>
      <c r="AM104" s="74"/>
      <c r="AN104" s="74"/>
      <c r="AO104" s="74"/>
      <c r="AP104" s="74"/>
      <c r="AQ104" s="74"/>
      <c r="AR104" s="74"/>
    </row>
    <row r="105" spans="1:51" x14ac:dyDescent="0.3">
      <c r="A105" s="452" t="s">
        <v>874</v>
      </c>
      <c r="B105" s="416" t="s">
        <v>1181</v>
      </c>
      <c r="C105" s="428"/>
      <c r="D105" s="453">
        <f>IF(C104=0,0,D104/C104-1)</f>
        <v>0</v>
      </c>
      <c r="E105" s="317"/>
      <c r="F105" s="74"/>
      <c r="G105" s="452" t="s">
        <v>1340</v>
      </c>
      <c r="H105" s="416" t="s">
        <v>1181</v>
      </c>
      <c r="I105" s="428"/>
      <c r="J105" s="425">
        <f>IF(I104=0,0,J104/I104-1)</f>
        <v>-0.26828649687397288</v>
      </c>
      <c r="K105" s="428"/>
      <c r="L105" s="425">
        <f>IF(K104=0,0,L104/K104-1)</f>
        <v>-2.9530990615193597E-2</v>
      </c>
      <c r="M105" s="428"/>
      <c r="N105" s="425">
        <f>IF(M104=0,0,N104/M104-1)</f>
        <v>-0.17273178179669191</v>
      </c>
      <c r="O105" s="428"/>
      <c r="P105" s="425">
        <f>IF(O104=0,0,P104/O104-1)</f>
        <v>4.6029070267609828E-2</v>
      </c>
      <c r="Q105" s="428"/>
      <c r="R105" s="425">
        <f>IF(Q104=0,0,R104/Q104-1)</f>
        <v>1.3238338390736137</v>
      </c>
      <c r="S105" s="428"/>
      <c r="T105" s="425">
        <f>IF(S104=0,0,T104/S104-1)</f>
        <v>-4.0533836103631704E-2</v>
      </c>
      <c r="U105" s="428"/>
      <c r="V105" s="425">
        <f>IF(U104=0,0,V104/U104-1)</f>
        <v>0.5618273006236183</v>
      </c>
      <c r="W105" s="428"/>
      <c r="X105" s="425">
        <f>IF(W104=0,0,X104/W104-1)</f>
        <v>0.12152692152542222</v>
      </c>
      <c r="Y105" s="428"/>
      <c r="Z105" s="425">
        <f>IF(Y104=0,0,Z104/Y104-1)</f>
        <v>6.6238287235685922E-2</v>
      </c>
      <c r="AA105" s="428"/>
      <c r="AB105" s="425">
        <f>IF(AA104=0,0,AB104/AA104-1)</f>
        <v>0.49175139992144867</v>
      </c>
      <c r="AC105" s="428"/>
      <c r="AD105" s="425">
        <f>IF(AC104=0,0,AD104/AC104-1)</f>
        <v>-0.47076626632797181</v>
      </c>
      <c r="AE105" s="428"/>
      <c r="AF105" s="453">
        <f>IF(AE104=0,0,AF104/AE104-1)</f>
        <v>9.49714300923028E-2</v>
      </c>
      <c r="AG105" s="74"/>
      <c r="AH105" s="74"/>
      <c r="AI105" s="74"/>
      <c r="AJ105" s="74"/>
      <c r="AK105" s="74"/>
      <c r="AL105" s="74"/>
      <c r="AM105" s="74"/>
      <c r="AN105" s="74"/>
      <c r="AO105" s="74"/>
      <c r="AP105" s="74"/>
      <c r="AQ105" s="74"/>
      <c r="AR105" s="74"/>
    </row>
    <row r="106" spans="1:51" x14ac:dyDescent="0.3">
      <c r="A106" s="454" t="s">
        <v>1235</v>
      </c>
      <c r="B106" s="416" t="s">
        <v>842</v>
      </c>
      <c r="C106" s="424">
        <f>'Расчет базового уровня'!D106</f>
        <v>2673.3768436334831</v>
      </c>
      <c r="D106" s="447">
        <f>D108+D109+D110</f>
        <v>2822.8728125132757</v>
      </c>
      <c r="E106" s="317"/>
      <c r="F106" s="317"/>
      <c r="G106" s="454" t="s">
        <v>1234</v>
      </c>
      <c r="H106" s="416" t="s">
        <v>842</v>
      </c>
      <c r="I106" s="424">
        <f>'Расчет базового уровня'!J106</f>
        <v>322.68121956798791</v>
      </c>
      <c r="J106" s="447">
        <f>J108+J109+J110</f>
        <v>327.62328066063804</v>
      </c>
      <c r="K106" s="424">
        <f>'Расчет базового уровня'!L106</f>
        <v>219.75027411369899</v>
      </c>
      <c r="L106" s="447">
        <f>L108+L109+L110</f>
        <v>295.91780188702791</v>
      </c>
      <c r="M106" s="424">
        <f>'Расчет базового уровня'!N106</f>
        <v>285.4094964216855</v>
      </c>
      <c r="N106" s="447">
        <f>N108+N109+N110</f>
        <v>327.62328066063804</v>
      </c>
      <c r="O106" s="424">
        <f>'Расчет базового уровня'!P106</f>
        <v>218.43919429566589</v>
      </c>
      <c r="P106" s="447">
        <f>P108+P109+P110</f>
        <v>218.96793225756568</v>
      </c>
      <c r="Q106" s="424">
        <f>'Расчет базового уровня'!R106</f>
        <v>101.60373843992024</v>
      </c>
      <c r="R106" s="447">
        <f>R108+R109+R110</f>
        <v>140.52425175562237</v>
      </c>
      <c r="S106" s="424">
        <f>'Расчет базового уровня'!T106</f>
        <v>238.14674859527483</v>
      </c>
      <c r="T106" s="447">
        <f>T108+T109+T110</f>
        <v>135.99121137640876</v>
      </c>
      <c r="U106" s="424">
        <f>'Расчет базового уровня'!V106</f>
        <v>82.902757619738722</v>
      </c>
      <c r="V106" s="447">
        <f>V108+V109+V110</f>
        <v>77.061686446631612</v>
      </c>
      <c r="W106" s="424">
        <f>'Расчет базового уровня'!X106</f>
        <v>210.52566909578115</v>
      </c>
      <c r="X106" s="447">
        <f>X108+X109+X110</f>
        <v>140.52425175562237</v>
      </c>
      <c r="Y106" s="424">
        <f>'Расчет базового уровня'!Z106</f>
        <v>214.29895179574802</v>
      </c>
      <c r="Z106" s="447">
        <f>Z108+Z109+Z110</f>
        <v>135.99121137640876</v>
      </c>
      <c r="AA106" s="424">
        <f>'Расчет базового уровня'!AB106</f>
        <v>158.27718048429787</v>
      </c>
      <c r="AB106" s="447">
        <f>AB108+AB109+AB110</f>
        <v>278.8187865575506</v>
      </c>
      <c r="AC106" s="424">
        <f>'Расчет базового уровня'!AD106</f>
        <v>431.74448789143366</v>
      </c>
      <c r="AD106" s="447">
        <f>AD108+AD109+AD110</f>
        <v>317.05478773610133</v>
      </c>
      <c r="AE106" s="424">
        <f>'Расчет базового уровня'!AF106</f>
        <v>215.6313845952746</v>
      </c>
      <c r="AF106" s="447">
        <f>AF108+AF109+AF110</f>
        <v>327.62328066063804</v>
      </c>
      <c r="AG106" s="74"/>
      <c r="AH106" s="74"/>
      <c r="AI106" s="74"/>
      <c r="AJ106" s="74"/>
      <c r="AK106" s="74"/>
      <c r="AL106" s="74"/>
      <c r="AM106" s="74"/>
      <c r="AN106" s="74"/>
      <c r="AO106" s="74"/>
      <c r="AP106" s="74"/>
      <c r="AQ106" s="74"/>
      <c r="AR106" s="74"/>
    </row>
    <row r="107" spans="1:51" ht="23.25" customHeight="1" x14ac:dyDescent="0.3">
      <c r="A107" s="452" t="s">
        <v>874</v>
      </c>
      <c r="B107" s="416" t="s">
        <v>1181</v>
      </c>
      <c r="C107" s="428"/>
      <c r="D107" s="453">
        <f>IF(C106=0,0,D106/C106-1)</f>
        <v>5.5920275226371441E-2</v>
      </c>
      <c r="E107" s="74"/>
      <c r="F107" s="74"/>
      <c r="G107" s="452" t="s">
        <v>1340</v>
      </c>
      <c r="H107" s="416" t="s">
        <v>1181</v>
      </c>
      <c r="I107" s="428"/>
      <c r="J107" s="425">
        <f>IF(I106=0,0,J106/I106-1)</f>
        <v>1.531561427487671E-2</v>
      </c>
      <c r="K107" s="428"/>
      <c r="L107" s="425">
        <f>IF(K106=0,0,L106/K106-1)</f>
        <v>0.34660947787450658</v>
      </c>
      <c r="M107" s="428"/>
      <c r="N107" s="425">
        <f>IF(M106=0,0,N106/M106-1)</f>
        <v>0.14790602544136333</v>
      </c>
      <c r="O107" s="428"/>
      <c r="P107" s="425">
        <f>IF(O106=0,0,P106/O106-1)</f>
        <v>2.4205269736718993E-3</v>
      </c>
      <c r="Q107" s="428"/>
      <c r="R107" s="425">
        <f>IF(Q106=0,0,R106/Q106-1)</f>
        <v>0.38306182344576234</v>
      </c>
      <c r="S107" s="428"/>
      <c r="T107" s="425">
        <f>IF(S106=0,0,T106/S106-1)</f>
        <v>-0.42896045325597609</v>
      </c>
      <c r="U107" s="428"/>
      <c r="V107" s="425">
        <f>IF(U106=0,0,V106/U106-1)</f>
        <v>-7.0456898429110626E-2</v>
      </c>
      <c r="W107" s="428"/>
      <c r="X107" s="425">
        <f>IF(W106=0,0,X106/W106-1)</f>
        <v>-0.33250775376142283</v>
      </c>
      <c r="Y107" s="428"/>
      <c r="Z107" s="425">
        <f>IF(Y106=0,0,Z106/Y106-1)</f>
        <v>-0.36541354851784669</v>
      </c>
      <c r="AA107" s="428"/>
      <c r="AB107" s="425">
        <f>IF(AA106=0,0,AB106/AA106-1)</f>
        <v>0.76158550275168202</v>
      </c>
      <c r="AC107" s="428"/>
      <c r="AD107" s="425">
        <f>IF(AC106=0,0,AD106/AC106-1)</f>
        <v>-0.26564253481372102</v>
      </c>
      <c r="AE107" s="428"/>
      <c r="AF107" s="453">
        <f>IF(AE106=0,0,AF106/AE106-1)</f>
        <v>0.51936732807037611</v>
      </c>
      <c r="AG107" s="74"/>
      <c r="AH107" s="74"/>
      <c r="AI107" s="74"/>
      <c r="AJ107" s="74"/>
      <c r="AK107" s="74"/>
      <c r="AL107" s="74"/>
      <c r="AM107" s="74"/>
      <c r="AN107" s="74"/>
      <c r="AO107" s="74"/>
      <c r="AP107" s="74"/>
      <c r="AQ107" s="74"/>
      <c r="AR107" s="74"/>
    </row>
    <row r="108" spans="1:51" ht="12.75" customHeight="1" x14ac:dyDescent="0.3">
      <c r="A108" s="452" t="s">
        <v>998</v>
      </c>
      <c r="B108" s="416" t="s">
        <v>842</v>
      </c>
      <c r="C108" s="424">
        <f>'Расчет базового уровня'!D108</f>
        <v>0</v>
      </c>
      <c r="D108" s="459">
        <f>'Система электроснабжения'!C51</f>
        <v>1056.5702458867315</v>
      </c>
      <c r="E108" s="419"/>
      <c r="F108" s="74"/>
      <c r="G108" s="452" t="s">
        <v>998</v>
      </c>
      <c r="H108" s="416" t="s">
        <v>842</v>
      </c>
      <c r="I108" s="428"/>
      <c r="J108" s="459">
        <f>'Система электроснабжения'!$E$51</f>
        <v>171.48522315439098</v>
      </c>
      <c r="K108" s="428"/>
      <c r="L108" s="459">
        <f>'Система электроснабжения'!$F$51</f>
        <v>154.8898789781596</v>
      </c>
      <c r="M108" s="428"/>
      <c r="N108" s="459">
        <f>'Система электроснабжения'!$G$50</f>
        <v>171.48522315439098</v>
      </c>
      <c r="O108" s="428"/>
      <c r="P108" s="459">
        <f>'Система электроснабжения'!$H$50</f>
        <v>82.976720881156922</v>
      </c>
      <c r="Q108" s="428"/>
      <c r="R108" s="459">
        <f>'Система электроснабжения'!$I$50</f>
        <v>0</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138.29453480192822</v>
      </c>
      <c r="AC108" s="428"/>
      <c r="AD108" s="459">
        <f>'Система электроснабжения'!$O$50</f>
        <v>165.95344176231384</v>
      </c>
      <c r="AE108" s="428"/>
      <c r="AF108" s="459">
        <f>'Система электроснабжения'!$P$50</f>
        <v>171.48522315439098</v>
      </c>
      <c r="AG108" s="74"/>
      <c r="AH108" s="74"/>
      <c r="AI108" s="74"/>
      <c r="AJ108" s="74"/>
      <c r="AK108" s="74"/>
      <c r="AL108" s="74"/>
      <c r="AM108" s="74"/>
      <c r="AN108" s="74"/>
      <c r="AO108" s="74"/>
      <c r="AP108" s="74"/>
      <c r="AQ108" s="74"/>
      <c r="AR108" s="74"/>
    </row>
    <row r="109" spans="1:51" ht="12.75" customHeight="1" x14ac:dyDescent="0.3">
      <c r="A109" s="452" t="s">
        <v>541</v>
      </c>
      <c r="B109" s="416" t="s">
        <v>842</v>
      </c>
      <c r="C109" s="424">
        <f>'Расчет базового уровня'!D109</f>
        <v>2673.3768436334831</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1766.3025666265441</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156.13805750624707</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141.02792290886831</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156.13805750624707</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135.99121137640876</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140.52425175562237</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135.99121137640876</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77.061686446631612</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140.52425175562237</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135.99121137640876</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140.52425175562237</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151.10134597378749</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156.13805750624707</v>
      </c>
      <c r="AG109" s="74"/>
      <c r="AH109" s="74"/>
      <c r="AI109" s="74"/>
      <c r="AJ109" s="74"/>
      <c r="AK109" s="74"/>
      <c r="AL109" s="74"/>
      <c r="AM109" s="74"/>
      <c r="AN109" s="74"/>
      <c r="AO109" s="74"/>
      <c r="AP109" s="74"/>
      <c r="AQ109" s="74"/>
      <c r="AR109" s="74"/>
    </row>
    <row r="110" spans="1:51" ht="12.75" customHeight="1" x14ac:dyDescent="0.3">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3">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3">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3">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 thickBot="1" x14ac:dyDescent="0.35">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6" thickBot="1" x14ac:dyDescent="0.35">
      <c r="A115" s="462" t="s">
        <v>1230</v>
      </c>
      <c r="B115" s="463" t="s">
        <v>1190</v>
      </c>
      <c r="C115" s="464">
        <f>'Расчет базового уровня'!D115</f>
        <v>2.4125014631862345</v>
      </c>
      <c r="D115" s="465">
        <f>D100/('Ввод исходных данных'!$G$45+'Ввод исходных данных'!$D$23)</f>
        <v>2.4343755075617164</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3">
      <c r="A131" s="473" t="s">
        <v>1637</v>
      </c>
      <c r="B131" s="473"/>
      <c r="C131" s="473">
        <f>IF('Список мероприятий'!AB9=1,IFERROR(VLOOKUP(CONCATENATE('Список мероприятий'!D10,'Список мероприятий'!D11),'Библиотека технологий'!$C$3:$D$27,2,0),0),0)</f>
        <v>7.1428571428571423</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3">
      <c r="A134" s="480" t="s">
        <v>514</v>
      </c>
      <c r="B134" s="481">
        <f>'Расчет базового уровня'!B134</f>
        <v>4038.8</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7.9926329902275741</v>
      </c>
      <c r="D134" s="481">
        <v>1</v>
      </c>
      <c r="E134" s="483">
        <f>IF(C134=0,0,B134/C134*D134)*(1-D163)</f>
        <v>505.31533287443034</v>
      </c>
      <c r="F134" s="484">
        <f>E134*(20-$D$145)</f>
        <v>19707.297982102784</v>
      </c>
      <c r="G134" s="483">
        <f t="shared" ref="G134:R134" si="0">$E$134*0.024*G$147</f>
        <v>8158.2149861911021</v>
      </c>
      <c r="H134" s="483">
        <f t="shared" si="0"/>
        <v>6927.2668353089903</v>
      </c>
      <c r="I134" s="483">
        <f t="shared" si="0"/>
        <v>6128.0601048347917</v>
      </c>
      <c r="J134" s="483">
        <f t="shared" si="0"/>
        <v>2146.5795340505802</v>
      </c>
      <c r="K134" s="483">
        <f t="shared" si="0"/>
        <v>0</v>
      </c>
      <c r="L134" s="483">
        <f t="shared" si="0"/>
        <v>0</v>
      </c>
      <c r="M134" s="483">
        <f t="shared" si="0"/>
        <v>0</v>
      </c>
      <c r="N134" s="483">
        <f t="shared" si="0"/>
        <v>0</v>
      </c>
      <c r="O134" s="483">
        <f t="shared" si="0"/>
        <v>0</v>
      </c>
      <c r="P134" s="483">
        <f t="shared" si="0"/>
        <v>4093.0541962828856</v>
      </c>
      <c r="Q134" s="483">
        <f t="shared" si="0"/>
        <v>5966.763450581273</v>
      </c>
      <c r="R134" s="483">
        <f t="shared" si="0"/>
        <v>6579.2056340250829</v>
      </c>
      <c r="S134" s="485"/>
      <c r="T134" s="74"/>
      <c r="U134" s="74"/>
      <c r="V134" s="74"/>
      <c r="W134" s="74"/>
      <c r="X134" s="74"/>
      <c r="Y134" s="74"/>
      <c r="Z134" s="74"/>
      <c r="AA134" s="74"/>
      <c r="AB134" s="74"/>
    </row>
    <row r="135" spans="1:55" x14ac:dyDescent="0.3">
      <c r="A135" s="480" t="s">
        <v>611</v>
      </c>
      <c r="B135" s="481">
        <f>'Расчет базового уровня'!B135</f>
        <v>1170</v>
      </c>
      <c r="C135" s="481">
        <f>'Расчет базового уровня'!C135</f>
        <v>0.57999999999999996</v>
      </c>
      <c r="D135" s="481">
        <v>1</v>
      </c>
      <c r="E135" s="483">
        <f t="shared" ref="E135:E141" si="1">IF(C135=0,0,B135/C135*D135)</f>
        <v>2017.2413793103449</v>
      </c>
      <c r="F135" s="484">
        <f t="shared" ref="F135:F143" si="2">E135*(20-$D$145)</f>
        <v>78672.413793103449</v>
      </c>
      <c r="G135" s="483">
        <f t="shared" ref="G135:R135" si="3">$E$135*0.024*G$147</f>
        <v>32567.958620689653</v>
      </c>
      <c r="H135" s="483">
        <f t="shared" si="3"/>
        <v>27653.958620689653</v>
      </c>
      <c r="I135" s="483">
        <f t="shared" si="3"/>
        <v>24463.489655172416</v>
      </c>
      <c r="J135" s="483">
        <f t="shared" si="3"/>
        <v>8569.241379310346</v>
      </c>
      <c r="K135" s="483">
        <f t="shared" si="3"/>
        <v>0</v>
      </c>
      <c r="L135" s="483">
        <f t="shared" si="3"/>
        <v>0</v>
      </c>
      <c r="M135" s="483">
        <f t="shared" si="3"/>
        <v>0</v>
      </c>
      <c r="N135" s="483">
        <f t="shared" si="3"/>
        <v>0</v>
      </c>
      <c r="O135" s="483">
        <f t="shared" si="3"/>
        <v>0</v>
      </c>
      <c r="P135" s="483">
        <f t="shared" si="3"/>
        <v>16339.655172413793</v>
      </c>
      <c r="Q135" s="483">
        <f t="shared" si="3"/>
        <v>23819.586206896551</v>
      </c>
      <c r="R135" s="483">
        <f t="shared" si="3"/>
        <v>26264.482758620692</v>
      </c>
      <c r="S135" s="485"/>
      <c r="T135" s="74"/>
      <c r="U135" s="74"/>
      <c r="V135" s="74"/>
      <c r="W135" s="74"/>
      <c r="X135" s="74"/>
      <c r="Y135" s="74"/>
      <c r="Z135" s="74"/>
      <c r="AA135" s="74"/>
      <c r="AB135" s="74"/>
    </row>
    <row r="136" spans="1:55" x14ac:dyDescent="0.3">
      <c r="A136" s="480" t="s">
        <v>612</v>
      </c>
      <c r="B136" s="481">
        <f>'Расчет базового уровня'!B136</f>
        <v>122</v>
      </c>
      <c r="C136" s="481">
        <f>IF('Список мероприятий'!AB14=1,VLOOKUP('Список мероприятий'!D15,'Библиотека технологий'!A40:B47,2,0),'Расчет базового уровня'!C136)</f>
        <v>0.52037037037037037</v>
      </c>
      <c r="D136" s="481">
        <v>1</v>
      </c>
      <c r="E136" s="483">
        <f t="shared" si="1"/>
        <v>234.44839857651246</v>
      </c>
      <c r="F136" s="484">
        <f t="shared" si="2"/>
        <v>9143.4875444839854</v>
      </c>
      <c r="G136" s="483">
        <f t="shared" ref="G136:R136" si="4">$E$136*0.024*G$147</f>
        <v>3785.1225053380776</v>
      </c>
      <c r="H136" s="483">
        <f t="shared" si="4"/>
        <v>3214.0062064056933</v>
      </c>
      <c r="I136" s="483">
        <f t="shared" si="4"/>
        <v>2843.202619217082</v>
      </c>
      <c r="J136" s="483">
        <f t="shared" si="4"/>
        <v>995.93679715302494</v>
      </c>
      <c r="K136" s="483">
        <f t="shared" si="4"/>
        <v>0</v>
      </c>
      <c r="L136" s="483">
        <f t="shared" si="4"/>
        <v>0</v>
      </c>
      <c r="M136" s="483">
        <f t="shared" si="4"/>
        <v>0</v>
      </c>
      <c r="N136" s="483">
        <f t="shared" si="4"/>
        <v>0</v>
      </c>
      <c r="O136" s="483">
        <f t="shared" si="4"/>
        <v>0</v>
      </c>
      <c r="P136" s="483">
        <f t="shared" si="4"/>
        <v>1899.0320284697509</v>
      </c>
      <c r="Q136" s="483">
        <f t="shared" si="4"/>
        <v>2768.3666903914586</v>
      </c>
      <c r="R136" s="483">
        <f t="shared" si="4"/>
        <v>3052.518149466192</v>
      </c>
      <c r="S136" s="485"/>
      <c r="T136" s="74"/>
      <c r="U136" s="74"/>
      <c r="V136" s="74"/>
      <c r="W136" s="74"/>
      <c r="X136" s="74"/>
      <c r="Y136" s="74"/>
      <c r="Z136" s="74"/>
      <c r="AA136" s="74"/>
      <c r="AB136" s="74"/>
    </row>
    <row r="137" spans="1:55" x14ac:dyDescent="0.3">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3">
      <c r="A138" s="480" t="s">
        <v>1329</v>
      </c>
      <c r="B138" s="481">
        <f>'Расчет базового уровня'!B138</f>
        <v>1069.4000000000001</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810.15151515151513</v>
      </c>
      <c r="F138" s="484">
        <f t="shared" si="2"/>
        <v>31595.909090909088</v>
      </c>
      <c r="G138" s="483">
        <f t="shared" ref="G138:R138" si="5">$E$138*0.024*G$147</f>
        <v>13079.734181818181</v>
      </c>
      <c r="H138" s="483">
        <f t="shared" si="5"/>
        <v>11106.20509090909</v>
      </c>
      <c r="I138" s="483">
        <f t="shared" si="5"/>
        <v>9824.8694545454564</v>
      </c>
      <c r="J138" s="483">
        <f t="shared" si="5"/>
        <v>3441.5236363636368</v>
      </c>
      <c r="K138" s="483">
        <f t="shared" si="5"/>
        <v>0</v>
      </c>
      <c r="L138" s="483">
        <f t="shared" si="5"/>
        <v>0</v>
      </c>
      <c r="M138" s="483">
        <f t="shared" si="5"/>
        <v>0</v>
      </c>
      <c r="N138" s="483">
        <f t="shared" si="5"/>
        <v>0</v>
      </c>
      <c r="O138" s="483">
        <f t="shared" si="5"/>
        <v>0</v>
      </c>
      <c r="P138" s="483">
        <f t="shared" si="5"/>
        <v>6562.227272727273</v>
      </c>
      <c r="Q138" s="483">
        <f t="shared" si="5"/>
        <v>9566.2690909090907</v>
      </c>
      <c r="R138" s="483">
        <f t="shared" si="5"/>
        <v>10548.172727272728</v>
      </c>
      <c r="S138" s="485"/>
      <c r="T138" s="74"/>
      <c r="U138" s="74"/>
      <c r="V138" s="74"/>
      <c r="W138" s="74"/>
      <c r="X138" s="74"/>
      <c r="Y138" s="74"/>
      <c r="Z138" s="74"/>
      <c r="AA138" s="74"/>
      <c r="AB138" s="74"/>
    </row>
    <row r="139" spans="1:55" x14ac:dyDescent="0.3">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0.74712643678160928</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1</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3">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0.74712643678160928</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1</v>
      </c>
      <c r="E140" s="483">
        <f>IF(C140=0,0,B140/C140*D140)</f>
        <v>0</v>
      </c>
      <c r="F140" s="484">
        <f t="shared" si="2"/>
        <v>0</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3">
      <c r="A141" s="480" t="s">
        <v>1332</v>
      </c>
      <c r="B141" s="481">
        <f>'Расчет базового уровня'!B141</f>
        <v>1069.4000000000001</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0.74712643678160928</v>
      </c>
      <c r="D141" s="481">
        <v>1</v>
      </c>
      <c r="E141" s="483">
        <f t="shared" si="1"/>
        <v>1431.3507692307692</v>
      </c>
      <c r="F141" s="484">
        <f t="shared" si="2"/>
        <v>55822.68</v>
      </c>
      <c r="G141" s="483">
        <f t="shared" ref="G141:R141" si="7">$E$141*0.024*G$147</f>
        <v>23108.871899076923</v>
      </c>
      <c r="H141" s="483">
        <f t="shared" si="7"/>
        <v>19622.101425230769</v>
      </c>
      <c r="I141" s="483">
        <f t="shared" si="7"/>
        <v>17358.277048615386</v>
      </c>
      <c r="J141" s="483">
        <f t="shared" si="7"/>
        <v>6080.3780676923079</v>
      </c>
      <c r="K141" s="483">
        <f t="shared" si="7"/>
        <v>0</v>
      </c>
      <c r="L141" s="483">
        <f t="shared" si="7"/>
        <v>0</v>
      </c>
      <c r="M141" s="483">
        <f t="shared" si="7"/>
        <v>0</v>
      </c>
      <c r="N141" s="483">
        <f t="shared" si="7"/>
        <v>0</v>
      </c>
      <c r="O141" s="483">
        <f t="shared" si="7"/>
        <v>0</v>
      </c>
      <c r="P141" s="483">
        <f t="shared" si="7"/>
        <v>11593.941230769231</v>
      </c>
      <c r="Q141" s="483">
        <f t="shared" si="7"/>
        <v>16901.389883076921</v>
      </c>
      <c r="R141" s="483">
        <f t="shared" si="7"/>
        <v>18636.187015384618</v>
      </c>
      <c r="S141" s="485"/>
      <c r="T141" s="74"/>
      <c r="U141" s="74"/>
      <c r="V141" s="74"/>
      <c r="W141" s="74"/>
      <c r="X141" s="74"/>
      <c r="Y141" s="74"/>
      <c r="Z141" s="74"/>
      <c r="AA141" s="74"/>
      <c r="AB141" s="74"/>
    </row>
    <row r="142" spans="1:55" x14ac:dyDescent="0.3">
      <c r="A142" s="480" t="s">
        <v>1328</v>
      </c>
      <c r="B142" s="481">
        <f>'Расчет базового уровня'!B142</f>
        <v>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0.44827586206896558</v>
      </c>
      <c r="D142" s="486">
        <f>('Ввод исходных данных'!D83-'Расчет базового уровня'!$D$160)/('Ввод исходных данных'!D83-'Расчет базового уровня'!$D$145)</f>
        <v>0.46153846153846156</v>
      </c>
      <c r="E142" s="483">
        <f>IF(C142=0,0,B142/C142*D142)</f>
        <v>0</v>
      </c>
      <c r="F142" s="484">
        <f t="shared" si="2"/>
        <v>0</v>
      </c>
      <c r="G142" s="483">
        <f t="shared" ref="G142:R142" si="8">$E$142*0.024*G$147</f>
        <v>0</v>
      </c>
      <c r="H142" s="483">
        <f t="shared" si="8"/>
        <v>0</v>
      </c>
      <c r="I142" s="483">
        <f t="shared" si="8"/>
        <v>0</v>
      </c>
      <c r="J142" s="483">
        <f t="shared" si="8"/>
        <v>0</v>
      </c>
      <c r="K142" s="483">
        <f t="shared" si="8"/>
        <v>0</v>
      </c>
      <c r="L142" s="483">
        <f t="shared" si="8"/>
        <v>0</v>
      </c>
      <c r="M142" s="483">
        <f t="shared" si="8"/>
        <v>0</v>
      </c>
      <c r="N142" s="483">
        <f t="shared" si="8"/>
        <v>0</v>
      </c>
      <c r="O142" s="483">
        <f t="shared" si="8"/>
        <v>0</v>
      </c>
      <c r="P142" s="483">
        <f t="shared" si="8"/>
        <v>0</v>
      </c>
      <c r="Q142" s="483">
        <f t="shared" si="8"/>
        <v>0</v>
      </c>
      <c r="R142" s="483">
        <f t="shared" si="8"/>
        <v>0</v>
      </c>
      <c r="S142" s="485"/>
      <c r="T142" s="74"/>
      <c r="U142" s="74"/>
      <c r="V142" s="74"/>
      <c r="W142" s="74"/>
      <c r="X142" s="74"/>
      <c r="Y142" s="74"/>
      <c r="Z142" s="74"/>
      <c r="AA142" s="74"/>
      <c r="AB142" s="74"/>
    </row>
    <row r="143" spans="1:55" x14ac:dyDescent="0.3">
      <c r="A143" s="480" t="s">
        <v>1231</v>
      </c>
      <c r="B143" s="481">
        <f>'Расчет базового уровня'!B143</f>
        <v>6</v>
      </c>
      <c r="C143" s="481">
        <f>IF('Список мероприятий'!AB73=1,0.95,'Расчет базового уровня'!C143)</f>
        <v>0.5</v>
      </c>
      <c r="D143" s="486">
        <v>1</v>
      </c>
      <c r="E143" s="483">
        <f>IF(C143=0,0,B143/C143*D143)</f>
        <v>12</v>
      </c>
      <c r="F143" s="484">
        <f t="shared" si="2"/>
        <v>468</v>
      </c>
      <c r="G143" s="483">
        <f>$E$143*0.024*G$147</f>
        <v>193.73760000000001</v>
      </c>
      <c r="H143" s="483">
        <f t="shared" ref="H143:R143" si="9">$E$143*0.024*H$147</f>
        <v>164.50559999999999</v>
      </c>
      <c r="I143" s="483">
        <f t="shared" si="9"/>
        <v>145.52640000000002</v>
      </c>
      <c r="J143" s="483">
        <f t="shared" si="9"/>
        <v>50.976000000000006</v>
      </c>
      <c r="K143" s="483">
        <f t="shared" si="9"/>
        <v>0</v>
      </c>
      <c r="L143" s="483">
        <f t="shared" si="9"/>
        <v>0</v>
      </c>
      <c r="M143" s="483">
        <f t="shared" si="9"/>
        <v>0</v>
      </c>
      <c r="N143" s="483">
        <f t="shared" si="9"/>
        <v>0</v>
      </c>
      <c r="O143" s="483">
        <f t="shared" si="9"/>
        <v>0</v>
      </c>
      <c r="P143" s="483">
        <f t="shared" si="9"/>
        <v>97.200000000000017</v>
      </c>
      <c r="Q143" s="483">
        <f t="shared" si="9"/>
        <v>141.696</v>
      </c>
      <c r="R143" s="483">
        <f t="shared" si="9"/>
        <v>156.24</v>
      </c>
      <c r="S143" s="485"/>
      <c r="T143" s="74"/>
      <c r="U143" s="74"/>
      <c r="V143" s="74"/>
      <c r="W143" s="74"/>
      <c r="X143" s="74"/>
      <c r="Y143" s="74"/>
      <c r="Z143" s="74"/>
      <c r="AA143" s="74"/>
      <c r="AB143" s="74"/>
    </row>
    <row r="144" spans="1:55" x14ac:dyDescent="0.3">
      <c r="A144" s="480" t="s">
        <v>515</v>
      </c>
      <c r="B144" s="481">
        <f>SUM(B134:B142)</f>
        <v>7469.6</v>
      </c>
      <c r="C144" s="481"/>
      <c r="D144" s="481"/>
      <c r="E144" s="483">
        <f>SUM(E134:E143)</f>
        <v>5010.5073951435716</v>
      </c>
      <c r="F144" s="484">
        <f>E144*(20-$D$145)/1000</f>
        <v>195.40978841059928</v>
      </c>
      <c r="G144" s="483">
        <f>SUM(G134:G143)</f>
        <v>80893.639793113922</v>
      </c>
      <c r="H144" s="483">
        <f t="shared" ref="H144:R144" si="10">SUM(H134:H143)</f>
        <v>68688.043778544205</v>
      </c>
      <c r="I144" s="483">
        <f t="shared" si="10"/>
        <v>60763.425282385142</v>
      </c>
      <c r="J144" s="483">
        <f t="shared" si="10"/>
        <v>21284.635414569897</v>
      </c>
      <c r="K144" s="483">
        <f t="shared" si="10"/>
        <v>0</v>
      </c>
      <c r="L144" s="483">
        <f t="shared" si="10"/>
        <v>0</v>
      </c>
      <c r="M144" s="483">
        <f t="shared" si="10"/>
        <v>0</v>
      </c>
      <c r="N144" s="483">
        <f t="shared" si="10"/>
        <v>0</v>
      </c>
      <c r="O144" s="483">
        <f t="shared" si="10"/>
        <v>0</v>
      </c>
      <c r="P144" s="483">
        <f t="shared" si="10"/>
        <v>40585.10990066293</v>
      </c>
      <c r="Q144" s="483">
        <f t="shared" si="10"/>
        <v>59164.071321855306</v>
      </c>
      <c r="R144" s="483">
        <f t="shared" si="10"/>
        <v>65236.806284769307</v>
      </c>
      <c r="S144" s="485"/>
      <c r="T144" s="74"/>
      <c r="U144" s="74"/>
      <c r="V144" s="74"/>
      <c r="W144" s="74"/>
      <c r="X144" s="74"/>
      <c r="Y144" s="74"/>
      <c r="Z144" s="74"/>
      <c r="AA144" s="74"/>
      <c r="AB144" s="74"/>
    </row>
    <row r="145" spans="1:28" x14ac:dyDescent="0.3">
      <c r="A145" s="74"/>
      <c r="B145" s="488" t="s">
        <v>742</v>
      </c>
      <c r="C145" s="489" t="s">
        <v>747</v>
      </c>
      <c r="D145" s="481">
        <f>VLOOKUP(CONCATENATE('Ввод исходных данных'!$D$10,'Ввод исходных данных'!$D$11),Климатология!$D$9:$BF$548,4,0)</f>
        <v>-19</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3">
      <c r="A146" s="74"/>
      <c r="B146" s="488" t="s">
        <v>1405</v>
      </c>
      <c r="C146" s="489" t="s">
        <v>748</v>
      </c>
      <c r="D146" s="481">
        <f>'Ввод исходных данных'!D246</f>
        <v>191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15</v>
      </c>
      <c r="K146" s="490">
        <f>'Ввод исходных данных'!$I$256</f>
        <v>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25</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3">
      <c r="A147" s="74"/>
      <c r="B147" s="488" t="s">
        <v>462</v>
      </c>
      <c r="C147" s="489" t="s">
        <v>749</v>
      </c>
      <c r="D147" s="481">
        <f>'Ввод исходных данных'!G264</f>
        <v>3298.2</v>
      </c>
      <c r="E147" s="74"/>
      <c r="F147" s="74"/>
      <c r="G147" s="490">
        <f>'Ввод исходных данных'!$G$252</f>
        <v>672.69999999999993</v>
      </c>
      <c r="H147" s="490">
        <f>'Ввод исходных данных'!$G$253</f>
        <v>571.19999999999993</v>
      </c>
      <c r="I147" s="490">
        <f>'Ввод исходных данных'!$G$254</f>
        <v>505.3</v>
      </c>
      <c r="J147" s="490">
        <f>'Ввод исходных данных'!$G$255</f>
        <v>177</v>
      </c>
      <c r="K147" s="490">
        <f>'Ввод исходных данных'!$G$256</f>
        <v>0</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337.5</v>
      </c>
      <c r="Q147" s="490">
        <f>'Ввод исходных данных'!$G$262</f>
        <v>491.99999999999994</v>
      </c>
      <c r="R147" s="490">
        <f>'Ввод исходных данных'!$G$263</f>
        <v>542.5</v>
      </c>
      <c r="S147" s="74"/>
      <c r="T147" s="74"/>
      <c r="U147" s="74"/>
      <c r="V147" s="74"/>
      <c r="W147" s="74"/>
      <c r="X147" s="74"/>
      <c r="Y147" s="74"/>
      <c r="Z147" s="74"/>
      <c r="AA147" s="74"/>
      <c r="AB147" s="74"/>
    </row>
    <row r="148" spans="1:28" x14ac:dyDescent="0.3">
      <c r="A148" s="491" t="s">
        <v>497</v>
      </c>
      <c r="B148" s="492" t="s">
        <v>531</v>
      </c>
      <c r="C148" s="493" t="s">
        <v>498</v>
      </c>
      <c r="D148" s="494">
        <f>IF(D149&gt;45,10,IF(D149&lt;=20,17,17-(D149-20)*7/25))</f>
        <v>15.71643165467626</v>
      </c>
      <c r="E148" s="74"/>
      <c r="F148" s="495">
        <f>17*D150/1000</f>
        <v>70.082499999999996</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3">
      <c r="A149" s="491" t="s">
        <v>499</v>
      </c>
      <c r="B149" s="492" t="s">
        <v>500</v>
      </c>
      <c r="C149" s="493" t="s">
        <v>501</v>
      </c>
      <c r="D149" s="496">
        <f>'Ввод исходных данных'!G45/'Ввод исходных данных'!$D$22</f>
        <v>24.584172661870504</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3">
      <c r="A150" s="476" t="s">
        <v>1403</v>
      </c>
      <c r="B150" s="492" t="s">
        <v>1404</v>
      </c>
      <c r="C150" s="497" t="s">
        <v>492</v>
      </c>
      <c r="D150" s="496">
        <f>'Расчет базового уровня'!D150</f>
        <v>4122.5</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3">
      <c r="A151" s="498" t="s">
        <v>512</v>
      </c>
      <c r="B151" s="499" t="s">
        <v>522</v>
      </c>
      <c r="C151" s="497" t="s">
        <v>526</v>
      </c>
      <c r="D151" s="500">
        <v>30</v>
      </c>
      <c r="E151" s="74"/>
      <c r="F151" s="495">
        <f>(D151*D152*'Ввод исходных данных'!$D$22*0.28+D189*0.28)*1.006*0.001*(20+25)+E161*(20+25)</f>
        <v>144.15775935609759</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3">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3">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3">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3">
      <c r="A158" s="491" t="s">
        <v>527</v>
      </c>
      <c r="B158" s="492" t="s">
        <v>532</v>
      </c>
      <c r="C158" s="489" t="s">
        <v>746</v>
      </c>
      <c r="D158" s="503">
        <f>IF('Список мероприятий'!AB37=1,1.05,'Расчет базового уровня'!D158)</f>
        <v>1.07</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3">
      <c r="A159" s="469" t="s">
        <v>743</v>
      </c>
      <c r="B159" s="504" t="s">
        <v>903</v>
      </c>
      <c r="C159" s="489"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3">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3">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0</v>
      </c>
      <c r="F161" s="74"/>
      <c r="G161" s="500">
        <f>0.28*(4*'Ввод исходных данных'!$D$23*'Расчет базового уровня'!$D$152*0.5+'Расчет базового уровня'!$D$162*'Расчет базового уровня'!$D$154*0.5)*'Расчет базового уровня'!$D$155*0.024*G147</f>
        <v>0</v>
      </c>
      <c r="H161" s="500">
        <f>0.28*(4*'Ввод исходных данных'!$D$23*'Расчет базового уровня'!$D$152*0.5+'Расчет базового уровня'!$D$162*'Расчет базового уровня'!$D$154*0.5)*'Расчет базового уровня'!$D$155*0.024*H147</f>
        <v>0</v>
      </c>
      <c r="I161" s="500">
        <f>0.28*(4*'Ввод исходных данных'!$D$23*'Расчет базового уровня'!$D$152*0.5+'Расчет базового уровня'!$D$162*'Расчет базового уровня'!$D$154*0.5)*'Расчет базового уровня'!$D$155*0.024*I147</f>
        <v>0</v>
      </c>
      <c r="J161" s="500">
        <f>0.28*(4*'Ввод исходных данных'!$D$23*'Расчет базового уровня'!$D$152*0.5+'Расчет базового уровня'!$D$162*'Расчет базового уровня'!$D$154*0.5)*'Расчет базового уровня'!$D$155*0.024*J147</f>
        <v>0</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0</v>
      </c>
      <c r="Q161" s="500">
        <f>0.28*(4*'Ввод исходных данных'!$D$23*'Расчет базового уровня'!$D$152*0.5+'Расчет базового уровня'!$D$162*'Расчет базового уровня'!$D$154*0.5)*'Расчет базового уровня'!$D$155*0.024*Q147</f>
        <v>0</v>
      </c>
      <c r="R161" s="500">
        <f>0.28*(4*'Ввод исходных данных'!$D$23*'Расчет базового уровня'!$D$152*0.5+'Расчет базового уровня'!$D$162*'Расчет базового уровня'!$D$154*0.5)*'Расчет базового уровня'!$D$155*0.024*R147</f>
        <v>0</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IF('Ввод исходных данных'!D23=0,0,($B$137/(0.12*(1-'Ввод исходных данных'!$D$35/'Ввод исходных данных'!$G$59)+0.86*('Ввод исходных данных'!$D$35/'Ввод исходных данных'!$G$59)))*('Расчет базового уровня'!$D$182/10)^(1/2))</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3">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3">
      <c r="A165" s="506" t="s">
        <v>905</v>
      </c>
      <c r="B165" s="507" t="s">
        <v>1474</v>
      </c>
      <c r="C165" s="489" t="s">
        <v>906</v>
      </c>
      <c r="D165" s="508">
        <f>D166*365/(D146+D167*(D168-D146))</f>
        <v>98.059701492537314</v>
      </c>
      <c r="E165" s="74"/>
      <c r="F165" s="74"/>
      <c r="G165" s="508">
        <f>'Расчет базового уровня'!G167</f>
        <v>98.147594861069607</v>
      </c>
      <c r="H165" s="508">
        <f>'Расчет базового уровня'!H167</f>
        <v>98.147594861069607</v>
      </c>
      <c r="I165" s="508">
        <f>'Расчет базового уровня'!I167</f>
        <v>98.147594861069607</v>
      </c>
      <c r="J165" s="508">
        <f>'Расчет базового уровня'!J167</f>
        <v>88.332835374962642</v>
      </c>
      <c r="K165" s="508">
        <f>'Расчет базового уровня'!K167</f>
        <v>88.332835374962642</v>
      </c>
      <c r="L165" s="508">
        <f>'Расчет базового уровня'!L167</f>
        <v>88.332835374962642</v>
      </c>
      <c r="M165" s="508">
        <f>'Расчет базового уровня'!M167</f>
        <v>88.332835374962642</v>
      </c>
      <c r="N165" s="508">
        <f>'Расчет базового уровня'!N167</f>
        <v>88.332835374962642</v>
      </c>
      <c r="O165" s="508">
        <f>'Расчет базового уровня'!O167</f>
        <v>88.332835374962642</v>
      </c>
      <c r="P165" s="508">
        <f>'Расчет базового уровня'!P167</f>
        <v>88.332835374962642</v>
      </c>
      <c r="Q165" s="508">
        <f>'Расчет базового уровня'!Q167</f>
        <v>98.147594861069607</v>
      </c>
      <c r="R165" s="508">
        <f>'Расчет базового уровня'!R167</f>
        <v>98.147594861069607</v>
      </c>
      <c r="S165" s="74"/>
      <c r="T165" s="74"/>
      <c r="U165" s="74"/>
      <c r="V165" s="74"/>
      <c r="W165" s="74"/>
      <c r="X165" s="74"/>
    </row>
    <row r="166" spans="1:31" ht="15.75" customHeight="1" x14ac:dyDescent="0.3">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3">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3">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3">
      <c r="A169" s="506" t="s">
        <v>908</v>
      </c>
      <c r="B169" s="507" t="s">
        <v>547</v>
      </c>
      <c r="C169" s="489" t="s">
        <v>559</v>
      </c>
      <c r="D169" s="512">
        <f>D165*'Ввод исходных данных'!$D$22/24/1000</f>
        <v>1.135858208955224</v>
      </c>
      <c r="E169" s="74"/>
      <c r="F169" s="74"/>
      <c r="G169" s="512">
        <f>G165*'Ввод исходных данных'!$D$22/24/1000</f>
        <v>1.1368763071407229</v>
      </c>
      <c r="H169" s="512">
        <f>H165*'Ввод исходных данных'!$D$22/24/1000</f>
        <v>1.1368763071407229</v>
      </c>
      <c r="I169" s="512">
        <f>I165*'Ввод исходных данных'!$D$22/24/1000</f>
        <v>1.1368763071407229</v>
      </c>
      <c r="J169" s="512">
        <f>J165*'Ввод исходных данных'!$D$22/24/1000</f>
        <v>1.0231886764266505</v>
      </c>
      <c r="K169" s="512">
        <f>K165*'Ввод исходных данных'!$D$22/24/1000</f>
        <v>1.0231886764266505</v>
      </c>
      <c r="L169" s="512">
        <f>L165*'Ввод исходных данных'!$D$22/24/1000</f>
        <v>1.0231886764266505</v>
      </c>
      <c r="M169" s="512">
        <f>M165*'Ввод исходных данных'!$D$22/24/1000</f>
        <v>1.0231886764266505</v>
      </c>
      <c r="N169" s="512">
        <f>N165*'Ввод исходных данных'!$D$22/24/1000</f>
        <v>1.0231886764266505</v>
      </c>
      <c r="O169" s="512">
        <f>O165*'Ввод исходных данных'!$D$22/24/1000</f>
        <v>1.0231886764266505</v>
      </c>
      <c r="P169" s="512">
        <f>P165*'Ввод исходных данных'!$D$22/24/1000</f>
        <v>1.0231886764266505</v>
      </c>
      <c r="Q169" s="512">
        <f>Q165*'Ввод исходных данных'!$D$22/24/1000</f>
        <v>1.1368763071407229</v>
      </c>
      <c r="R169" s="512">
        <f>R165*'Ввод исходных данных'!$D$22/24/1000</f>
        <v>1.1368763071407229</v>
      </c>
      <c r="S169" s="74"/>
      <c r="T169" s="74"/>
      <c r="U169" s="74"/>
      <c r="V169" s="74"/>
      <c r="W169" s="74"/>
      <c r="X169" s="74"/>
    </row>
    <row r="170" spans="1:31" ht="15.75" customHeight="1" x14ac:dyDescent="0.3">
      <c r="A170" s="506" t="s">
        <v>909</v>
      </c>
      <c r="B170" s="507" t="s">
        <v>548</v>
      </c>
      <c r="C170" s="489" t="s">
        <v>559</v>
      </c>
      <c r="D170" s="512">
        <f>D169*'Система электроснабжения'!$C$55</f>
        <v>4.9054990128732836</v>
      </c>
      <c r="E170" s="74"/>
      <c r="F170" s="74"/>
      <c r="G170" s="512">
        <f>G169*'Система электроснабжения'!$C$55</f>
        <v>4.9098959346057649</v>
      </c>
      <c r="H170" s="512">
        <f>H169*'Система электроснабжения'!$C$55</f>
        <v>4.9098959346057649</v>
      </c>
      <c r="I170" s="512">
        <f>I169*'Система электроснабжения'!$C$55</f>
        <v>4.9098959346057649</v>
      </c>
      <c r="J170" s="512">
        <f>J169*'Система электроснабжения'!$C$55</f>
        <v>4.4189063411451883</v>
      </c>
      <c r="K170" s="512">
        <f>K169*'Система электроснабжения'!$C$55</f>
        <v>4.4189063411451883</v>
      </c>
      <c r="L170" s="512">
        <f>L169*'Система электроснабжения'!$C$55</f>
        <v>4.4189063411451883</v>
      </c>
      <c r="M170" s="512">
        <f>M169*'Система электроснабжения'!$C$55</f>
        <v>4.4189063411451883</v>
      </c>
      <c r="N170" s="512">
        <f>N169*'Система электроснабжения'!$C$55</f>
        <v>4.4189063411451883</v>
      </c>
      <c r="O170" s="512">
        <f>O169*'Система электроснабжения'!$C$55</f>
        <v>4.4189063411451883</v>
      </c>
      <c r="P170" s="512">
        <f>P169*'Система электроснабжения'!$C$55</f>
        <v>4.4189063411451883</v>
      </c>
      <c r="Q170" s="512">
        <f>Q169*'Система электроснабжения'!$C$55</f>
        <v>4.9098959346057649</v>
      </c>
      <c r="R170" s="512">
        <f>R169*'Система электроснабжения'!$C$55</f>
        <v>4.9098959346057649</v>
      </c>
      <c r="S170" s="74"/>
      <c r="T170" s="74"/>
      <c r="U170" s="74"/>
      <c r="V170" s="74"/>
      <c r="W170" s="74"/>
      <c r="X170" s="74"/>
    </row>
    <row r="171" spans="1:31" ht="15.75" customHeight="1" x14ac:dyDescent="0.3">
      <c r="A171" s="506" t="s">
        <v>910</v>
      </c>
      <c r="B171" s="507" t="s">
        <v>551</v>
      </c>
      <c r="C171" s="489" t="s">
        <v>513</v>
      </c>
      <c r="D171" s="513">
        <f xml:space="preserve"> (D165*(D172-D173)*(1+D174)*1*D175)/(3.6*24*D176)</f>
        <v>15.730410447761196</v>
      </c>
      <c r="E171" s="74"/>
      <c r="F171" s="74"/>
      <c r="G171" s="513">
        <f xml:space="preserve"> (G165*($D$172-$D$173)*(1+$D$174)*1*$D$175)/(3.6*24*$D$176)</f>
        <v>15.744510008963251</v>
      </c>
      <c r="H171" s="513">
        <f t="shared" ref="H171:R171" si="11" xml:space="preserve"> (H165*($D$172-$D$173)*(1+$D$174)*1*$D$175)/(3.6*24*$D$176)</f>
        <v>15.744510008963251</v>
      </c>
      <c r="I171" s="513">
        <f t="shared" si="11"/>
        <v>15.744510008963251</v>
      </c>
      <c r="J171" s="513">
        <f t="shared" si="11"/>
        <v>14.170059008066927</v>
      </c>
      <c r="K171" s="513">
        <f t="shared" si="11"/>
        <v>14.170059008066927</v>
      </c>
      <c r="L171" s="513">
        <f t="shared" si="11"/>
        <v>14.170059008066927</v>
      </c>
      <c r="M171" s="513">
        <f t="shared" si="11"/>
        <v>14.170059008066927</v>
      </c>
      <c r="N171" s="513">
        <f t="shared" si="11"/>
        <v>14.170059008066927</v>
      </c>
      <c r="O171" s="513">
        <f t="shared" si="11"/>
        <v>14.170059008066927</v>
      </c>
      <c r="P171" s="513">
        <f t="shared" si="11"/>
        <v>14.170059008066927</v>
      </c>
      <c r="Q171" s="513">
        <f t="shared" si="11"/>
        <v>15.744510008963251</v>
      </c>
      <c r="R171" s="513">
        <f t="shared" si="11"/>
        <v>15.744510008963251</v>
      </c>
      <c r="S171" s="74"/>
      <c r="T171" s="74"/>
      <c r="U171" s="74"/>
      <c r="V171" s="74"/>
      <c r="W171" s="74"/>
      <c r="X171" s="74"/>
    </row>
    <row r="172" spans="1:31" ht="15.75" customHeight="1" x14ac:dyDescent="0.3">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9.5584045584045576</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3">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3">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3">
      <c r="A177" s="510" t="s">
        <v>914</v>
      </c>
      <c r="B177" s="515" t="s">
        <v>750</v>
      </c>
      <c r="C177" s="489" t="s">
        <v>562</v>
      </c>
      <c r="D177" s="508">
        <f>'Расчет базового уровня'!D179</f>
        <v>24.584172661870504</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3">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3">
      <c r="A179" s="510" t="s">
        <v>1572</v>
      </c>
      <c r="B179" s="515" t="s">
        <v>1573</v>
      </c>
      <c r="C179" s="489" t="s">
        <v>1579</v>
      </c>
      <c r="D179" s="508">
        <f>0.28*'Ввод исходных данных'!$G$49*(D181-D182)+0.03*D181*Климатология!$H$2^2</f>
        <v>11.263519505704473</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3">
      <c r="A180" s="510" t="s">
        <v>1575</v>
      </c>
      <c r="B180" s="515" t="s">
        <v>1574</v>
      </c>
      <c r="C180" s="489" t="s">
        <v>1579</v>
      </c>
      <c r="D180" s="508">
        <f>0.55*('Ввод исходных данных'!$G$49-1)*(D181-D182)+0.03*D181*Климатология!$H$2^2</f>
        <v>16.94410745252091</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3">
      <c r="A181" s="510" t="s">
        <v>1576</v>
      </c>
      <c r="B181" s="515"/>
      <c r="C181" s="489" t="s">
        <v>1580</v>
      </c>
      <c r="D181" s="508">
        <f>3463/(273+Климатология!$F$2)</f>
        <v>12.629467541940191</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3">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3">
      <c r="A183" s="510" t="s">
        <v>1571</v>
      </c>
      <c r="B183" s="515"/>
      <c r="C183" s="489" t="s">
        <v>1581</v>
      </c>
      <c r="D183" s="517">
        <f>IF('Список мероприятий'!AB14=1,0.86,'Расчет базового уровня'!D185)</f>
        <v>0.71382716049382711</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3">
      <c r="A184" s="510" t="s">
        <v>1570</v>
      </c>
      <c r="B184" s="515"/>
      <c r="C184" s="489" t="s">
        <v>1581</v>
      </c>
      <c r="D184" s="517">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3">
      <c r="A185" s="510" t="s">
        <v>1569</v>
      </c>
      <c r="B185" s="515"/>
      <c r="C185" s="489" t="s">
        <v>1582</v>
      </c>
      <c r="D185" s="508">
        <f>(B136/D183)*(D179/10)^(2/3)</f>
        <v>185.01893320293465</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3">
      <c r="A186" s="510" t="s">
        <v>1568</v>
      </c>
      <c r="B186" s="515"/>
      <c r="C186" s="489" t="s">
        <v>1582</v>
      </c>
      <c r="D186" s="508">
        <f>(B143/D184)*(D180/10)^(1/2)</f>
        <v>55.786942930074886</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3">
      <c r="A187" s="510" t="s">
        <v>1567</v>
      </c>
      <c r="B187" s="515"/>
      <c r="C187" s="489" t="s">
        <v>1582</v>
      </c>
      <c r="D187" s="508">
        <f>D185+D186</f>
        <v>240.80587613300952</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3">
      <c r="A188" s="510" t="s">
        <v>1566</v>
      </c>
      <c r="B188" s="515"/>
      <c r="C188" s="489" t="s">
        <v>496</v>
      </c>
      <c r="D188" s="508">
        <f>0.024*D185*'Расчет базового уровня'!$D$147*0.28</f>
        <v>4394.4157656836796</v>
      </c>
      <c r="E188" s="74"/>
      <c r="F188" s="74"/>
      <c r="G188" s="508">
        <f>0.024*$D$185*G$147*0.28</f>
        <v>836.38622837692697</v>
      </c>
      <c r="H188" s="508">
        <f t="shared" ref="H188:R188" si="12">0.024*$D$185*H$147*0.28</f>
        <v>710.18851441786933</v>
      </c>
      <c r="I188" s="508">
        <f t="shared" si="12"/>
        <v>628.25324988681632</v>
      </c>
      <c r="J188" s="508">
        <f t="shared" si="12"/>
        <v>220.06891990889861</v>
      </c>
      <c r="K188" s="508">
        <f t="shared" si="12"/>
        <v>0</v>
      </c>
      <c r="L188" s="508">
        <f t="shared" si="12"/>
        <v>0</v>
      </c>
      <c r="M188" s="508">
        <f t="shared" si="12"/>
        <v>0</v>
      </c>
      <c r="N188" s="508">
        <f t="shared" si="12"/>
        <v>0</v>
      </c>
      <c r="O188" s="508">
        <f t="shared" si="12"/>
        <v>0</v>
      </c>
      <c r="P188" s="508">
        <f t="shared" si="12"/>
        <v>419.62294050425584</v>
      </c>
      <c r="Q188" s="508">
        <f t="shared" si="12"/>
        <v>611.71699771287058</v>
      </c>
      <c r="R188" s="508">
        <f t="shared" si="12"/>
        <v>674.5050228846186</v>
      </c>
      <c r="S188" s="74"/>
      <c r="T188" s="74"/>
      <c r="U188" s="74"/>
      <c r="V188" s="74"/>
      <c r="W188" s="74"/>
      <c r="X188" s="74"/>
    </row>
    <row r="189" spans="1:26" x14ac:dyDescent="0.3">
      <c r="A189" s="510" t="s">
        <v>1565</v>
      </c>
      <c r="B189" s="515"/>
      <c r="C189" s="489" t="s">
        <v>496</v>
      </c>
      <c r="D189" s="508">
        <f>0.024*D186*'Расчет базового уровня'!$D$147*0.28</f>
        <v>1325.005053738621</v>
      </c>
      <c r="E189" s="74"/>
      <c r="F189" s="74"/>
      <c r="G189" s="508">
        <f>0.024*$D$186*G$147*0.28</f>
        <v>252.18733014089244</v>
      </c>
      <c r="H189" s="508">
        <f t="shared" ref="H189:R189" si="13">0.024*$D$186*H$147*0.28</f>
        <v>214.13617210714696</v>
      </c>
      <c r="I189" s="508">
        <f t="shared" si="13"/>
        <v>189.43103600444917</v>
      </c>
      <c r="J189" s="508">
        <f t="shared" si="13"/>
        <v>66.35522139874827</v>
      </c>
      <c r="K189" s="508">
        <f t="shared" si="13"/>
        <v>0</v>
      </c>
      <c r="L189" s="508">
        <f t="shared" si="13"/>
        <v>0</v>
      </c>
      <c r="M189" s="508">
        <f t="shared" si="13"/>
        <v>0</v>
      </c>
      <c r="N189" s="508">
        <f t="shared" si="13"/>
        <v>0</v>
      </c>
      <c r="O189" s="508">
        <f t="shared" si="13"/>
        <v>0</v>
      </c>
      <c r="P189" s="508">
        <f t="shared" si="13"/>
        <v>126.52478656540984</v>
      </c>
      <c r="Q189" s="508">
        <f t="shared" si="13"/>
        <v>184.44502219313077</v>
      </c>
      <c r="R189" s="508">
        <f t="shared" si="13"/>
        <v>203.37687914588102</v>
      </c>
      <c r="S189" s="74"/>
      <c r="T189" s="74"/>
      <c r="U189" s="74"/>
      <c r="V189" s="74"/>
      <c r="W189" s="74"/>
      <c r="X189" s="74"/>
    </row>
    <row r="190" spans="1:26" x14ac:dyDescent="0.3">
      <c r="A190" s="510" t="s">
        <v>1564</v>
      </c>
      <c r="B190" s="515"/>
      <c r="C190" s="489" t="s">
        <v>496</v>
      </c>
      <c r="D190" s="508">
        <f>0.024*D187*'Расчет базового уровня'!$D$147*0.28</f>
        <v>5719.4208194223002</v>
      </c>
      <c r="E190" s="74"/>
      <c r="F190" s="74"/>
      <c r="G190" s="508">
        <f>0.024*$D$187*G$147*0.28</f>
        <v>1088.5735585178193</v>
      </c>
      <c r="H190" s="508">
        <f t="shared" ref="H190:R190" si="14">0.024*$D$187*H$147*0.28</f>
        <v>924.32468652501632</v>
      </c>
      <c r="I190" s="508">
        <f t="shared" si="14"/>
        <v>817.68428589126529</v>
      </c>
      <c r="J190" s="508">
        <f t="shared" si="14"/>
        <v>286.42414130764689</v>
      </c>
      <c r="K190" s="508">
        <f t="shared" si="14"/>
        <v>0</v>
      </c>
      <c r="L190" s="508">
        <f t="shared" si="14"/>
        <v>0</v>
      </c>
      <c r="M190" s="508">
        <f t="shared" si="14"/>
        <v>0</v>
      </c>
      <c r="N190" s="508">
        <f t="shared" si="14"/>
        <v>0</v>
      </c>
      <c r="O190" s="508">
        <f t="shared" si="14"/>
        <v>0</v>
      </c>
      <c r="P190" s="508">
        <f t="shared" si="14"/>
        <v>546.14772706966562</v>
      </c>
      <c r="Q190" s="508">
        <f t="shared" si="14"/>
        <v>796.16201990600132</v>
      </c>
      <c r="R190" s="508">
        <f t="shared" si="14"/>
        <v>877.88190203049965</v>
      </c>
      <c r="S190" s="74"/>
      <c r="T190" s="74"/>
      <c r="U190" s="74"/>
      <c r="V190" s="74"/>
      <c r="W190" s="74"/>
      <c r="X190" s="74"/>
    </row>
    <row r="191" spans="1:26" x14ac:dyDescent="0.3">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3">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3">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3">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3">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3">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75" customWidth="1"/>
    <col min="2" max="2" width="9.109375" style="75"/>
    <col min="3" max="3" width="44" style="75" customWidth="1"/>
    <col min="4" max="16384" width="9.109375" style="75"/>
  </cols>
  <sheetData>
    <row r="1" spans="1:11" x14ac:dyDescent="0.3">
      <c r="C1" s="75">
        <v>1</v>
      </c>
      <c r="D1" s="75">
        <v>2</v>
      </c>
      <c r="E1" s="75">
        <v>3</v>
      </c>
      <c r="F1" s="75">
        <v>4</v>
      </c>
      <c r="G1" s="74"/>
      <c r="H1" s="74"/>
      <c r="I1" s="74"/>
      <c r="J1" s="74"/>
      <c r="K1" s="74"/>
    </row>
    <row r="2" spans="1:11" s="240" customFormat="1" ht="129.6" x14ac:dyDescent="0.3">
      <c r="A2" s="284" t="s">
        <v>901</v>
      </c>
      <c r="B2" s="284" t="s">
        <v>1302</v>
      </c>
      <c r="C2" s="284" t="s">
        <v>1380</v>
      </c>
      <c r="D2" s="284" t="s">
        <v>1303</v>
      </c>
      <c r="E2" s="284" t="s">
        <v>1623</v>
      </c>
      <c r="F2" s="284" t="s">
        <v>1622</v>
      </c>
      <c r="G2" s="74"/>
      <c r="H2" s="74"/>
      <c r="I2" s="74"/>
      <c r="J2" s="74"/>
      <c r="K2" s="74"/>
    </row>
    <row r="3" spans="1:11" x14ac:dyDescent="0.3">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3">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3">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3">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3">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3">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3">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3">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3">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3">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3">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3">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3">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3">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3">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3">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3">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3">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3">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3">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3">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3">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3">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3">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3">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3">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3">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3">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3">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3">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3">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3">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3">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3">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3">
      <c r="A37" s="74"/>
      <c r="B37" s="74"/>
      <c r="C37" s="74"/>
      <c r="D37" s="74"/>
      <c r="E37" s="74"/>
      <c r="F37" s="74"/>
      <c r="G37" s="74"/>
      <c r="H37" s="74"/>
      <c r="I37" s="74"/>
      <c r="J37" s="74"/>
      <c r="K37" s="74"/>
    </row>
    <row r="38" spans="1:11" x14ac:dyDescent="0.3">
      <c r="A38" s="74"/>
      <c r="B38" s="74"/>
      <c r="C38" s="74"/>
      <c r="D38" s="74"/>
      <c r="E38" s="74"/>
      <c r="F38" s="74"/>
      <c r="G38" s="74"/>
      <c r="H38" s="74"/>
      <c r="I38" s="74"/>
      <c r="J38" s="74"/>
      <c r="K38" s="74"/>
    </row>
    <row r="39" spans="1:11" x14ac:dyDescent="0.3">
      <c r="A39" s="95" t="s">
        <v>864</v>
      </c>
      <c r="B39" s="95" t="s">
        <v>1305</v>
      </c>
      <c r="C39" s="74"/>
      <c r="D39" s="74"/>
      <c r="E39" s="74"/>
      <c r="F39" s="74"/>
      <c r="G39" s="74"/>
      <c r="H39" s="74"/>
      <c r="I39" s="74"/>
      <c r="J39" s="74"/>
      <c r="K39" s="74"/>
    </row>
    <row r="40" spans="1:11" x14ac:dyDescent="0.3">
      <c r="A40" s="95" t="s">
        <v>1258</v>
      </c>
      <c r="B40" s="95">
        <v>0.55000000000000004</v>
      </c>
      <c r="C40" s="74"/>
      <c r="D40" s="74"/>
      <c r="E40" s="74"/>
      <c r="F40" s="74"/>
      <c r="G40" s="74"/>
      <c r="H40" s="74"/>
      <c r="I40" s="74"/>
      <c r="J40" s="74"/>
      <c r="K40" s="74"/>
    </row>
    <row r="41" spans="1:11" x14ac:dyDescent="0.3">
      <c r="A41" s="95" t="s">
        <v>1259</v>
      </c>
      <c r="B41" s="95">
        <v>0.54</v>
      </c>
      <c r="C41" s="74"/>
      <c r="D41" s="74"/>
      <c r="E41" s="74"/>
      <c r="F41" s="74"/>
      <c r="G41" s="74"/>
      <c r="H41" s="74"/>
      <c r="I41" s="74"/>
      <c r="J41" s="74"/>
      <c r="K41" s="74"/>
    </row>
    <row r="42" spans="1:11" x14ac:dyDescent="0.3">
      <c r="A42" s="95" t="s">
        <v>1260</v>
      </c>
      <c r="B42" s="95">
        <v>0.68</v>
      </c>
      <c r="C42" s="74"/>
      <c r="D42" s="74"/>
      <c r="E42" s="74"/>
      <c r="F42" s="74"/>
      <c r="G42" s="74"/>
      <c r="H42" s="74"/>
      <c r="I42" s="74"/>
      <c r="J42" s="74"/>
      <c r="K42" s="74"/>
    </row>
    <row r="43" spans="1:11" x14ac:dyDescent="0.3">
      <c r="A43" s="95" t="s">
        <v>1264</v>
      </c>
      <c r="B43" s="95">
        <v>0.56000000000000005</v>
      </c>
      <c r="C43" s="74"/>
      <c r="D43" s="74"/>
      <c r="E43" s="74"/>
      <c r="F43" s="74"/>
      <c r="G43" s="74"/>
      <c r="H43" s="74"/>
      <c r="I43" s="74"/>
      <c r="J43" s="74"/>
      <c r="K43" s="74"/>
    </row>
    <row r="44" spans="1:11" x14ac:dyDescent="0.3">
      <c r="A44" s="95" t="s">
        <v>1265</v>
      </c>
      <c r="B44" s="95">
        <v>0.72</v>
      </c>
      <c r="C44" s="74"/>
      <c r="D44" s="74"/>
      <c r="E44" s="74"/>
      <c r="F44" s="74"/>
      <c r="G44" s="74"/>
      <c r="H44" s="74"/>
      <c r="I44" s="74"/>
      <c r="J44" s="74"/>
      <c r="K44" s="74"/>
    </row>
    <row r="45" spans="1:11" x14ac:dyDescent="0.3">
      <c r="A45" s="95" t="s">
        <v>1261</v>
      </c>
      <c r="B45" s="95">
        <v>0.7</v>
      </c>
      <c r="C45" s="74"/>
      <c r="D45" s="74"/>
      <c r="E45" s="74"/>
      <c r="F45" s="74"/>
      <c r="G45" s="74"/>
      <c r="H45" s="74"/>
      <c r="I45" s="74"/>
      <c r="J45" s="74"/>
      <c r="K45" s="74"/>
    </row>
    <row r="46" spans="1:11" x14ac:dyDescent="0.3">
      <c r="A46" s="95" t="s">
        <v>1262</v>
      </c>
      <c r="B46" s="95">
        <v>0.74</v>
      </c>
      <c r="C46" s="74"/>
      <c r="D46" s="74"/>
      <c r="E46" s="74"/>
      <c r="F46" s="74"/>
      <c r="G46" s="74"/>
      <c r="H46" s="74"/>
      <c r="I46" s="74"/>
      <c r="J46" s="74"/>
      <c r="K46" s="74"/>
    </row>
    <row r="47" spans="1:11" x14ac:dyDescent="0.3">
      <c r="A47" s="95" t="s">
        <v>1263</v>
      </c>
      <c r="B47" s="95">
        <v>0.8</v>
      </c>
      <c r="C47" s="74"/>
      <c r="D47" s="74"/>
      <c r="E47" s="74"/>
      <c r="F47" s="74"/>
      <c r="G47" s="74"/>
      <c r="H47" s="74"/>
      <c r="I47" s="74"/>
      <c r="J47" s="74"/>
      <c r="K47" s="74"/>
    </row>
    <row r="48" spans="1:11" x14ac:dyDescent="0.3">
      <c r="A48" s="74"/>
      <c r="B48" s="74"/>
      <c r="C48" s="74"/>
      <c r="D48" s="74"/>
      <c r="E48" s="74"/>
      <c r="F48" s="74"/>
      <c r="G48" s="74"/>
      <c r="H48" s="74"/>
      <c r="I48" s="74"/>
      <c r="J48" s="74"/>
      <c r="K48" s="74"/>
    </row>
    <row r="49" spans="1:11" x14ac:dyDescent="0.3">
      <c r="A49" s="95"/>
      <c r="B49" s="95"/>
      <c r="C49" s="95" t="s">
        <v>1620</v>
      </c>
      <c r="D49" s="95" t="s">
        <v>1621</v>
      </c>
      <c r="E49" s="74"/>
      <c r="F49" s="74"/>
      <c r="G49" s="74"/>
      <c r="H49" s="74"/>
      <c r="I49" s="74"/>
      <c r="J49" s="74"/>
      <c r="K49" s="74"/>
    </row>
    <row r="50" spans="1:11" x14ac:dyDescent="0.3">
      <c r="A50" s="95" t="s">
        <v>1541</v>
      </c>
      <c r="B50" s="95" t="s">
        <v>1311</v>
      </c>
      <c r="C50" s="95">
        <v>6000</v>
      </c>
      <c r="D50" s="95">
        <v>5000</v>
      </c>
      <c r="E50" s="74"/>
      <c r="F50" s="74"/>
      <c r="G50" s="74"/>
      <c r="H50" s="74"/>
      <c r="I50" s="74"/>
      <c r="J50" s="74"/>
      <c r="K50" s="74"/>
    </row>
    <row r="51" spans="1:11" x14ac:dyDescent="0.3">
      <c r="A51" s="95" t="s">
        <v>1542</v>
      </c>
      <c r="B51" s="95" t="s">
        <v>1543</v>
      </c>
      <c r="C51" s="95">
        <v>3800</v>
      </c>
      <c r="D51" s="95"/>
      <c r="E51" s="74"/>
      <c r="F51" s="74"/>
      <c r="G51" s="74"/>
      <c r="H51" s="74"/>
      <c r="I51" s="74"/>
      <c r="J51" s="74"/>
      <c r="K51" s="74"/>
    </row>
    <row r="52" spans="1:11" x14ac:dyDescent="0.3">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3">
      <c r="A53" s="95" t="s">
        <v>801</v>
      </c>
      <c r="B53" s="95" t="s">
        <v>858</v>
      </c>
      <c r="C53" s="286">
        <f>2349*('Система электроснабжения'!D34+'Расчет базового уровня'!E172)+1151900</f>
        <v>2643293.7770398688</v>
      </c>
      <c r="D53" s="286">
        <f>C53*0.2+100000</f>
        <v>628658.75540797377</v>
      </c>
      <c r="E53" s="74"/>
      <c r="F53" s="74"/>
      <c r="G53" s="74"/>
      <c r="H53" s="74"/>
      <c r="I53" s="74"/>
      <c r="J53" s="74"/>
      <c r="K53" s="74"/>
    </row>
    <row r="54" spans="1:11" x14ac:dyDescent="0.3">
      <c r="A54" s="95" t="s">
        <v>1615</v>
      </c>
      <c r="B54" s="95" t="s">
        <v>858</v>
      </c>
      <c r="C54" s="286">
        <f>531500+285*'Расчет базового уровня'!E172</f>
        <v>630268.69409451319</v>
      </c>
      <c r="D54" s="95">
        <f>C54*0.2+100000</f>
        <v>226053.73881890264</v>
      </c>
      <c r="E54" s="74"/>
      <c r="F54" s="74"/>
      <c r="G54" s="74"/>
      <c r="H54" s="74"/>
      <c r="I54" s="74"/>
      <c r="J54" s="74"/>
      <c r="K54" s="74"/>
    </row>
    <row r="55" spans="1:11" x14ac:dyDescent="0.3">
      <c r="A55" s="95" t="s">
        <v>1619</v>
      </c>
      <c r="B55" s="95" t="s">
        <v>858</v>
      </c>
      <c r="C55" s="286">
        <f>150121*'Расчет базового уровня'!E173+23232</f>
        <v>67973.89266140238</v>
      </c>
      <c r="D55" s="95"/>
      <c r="E55" s="74"/>
      <c r="F55" s="74"/>
      <c r="G55" s="74"/>
      <c r="H55" s="74"/>
      <c r="I55" s="74"/>
      <c r="J55" s="74"/>
      <c r="K55" s="74"/>
    </row>
    <row r="56" spans="1:11" x14ac:dyDescent="0.3">
      <c r="A56" s="95" t="s">
        <v>1547</v>
      </c>
      <c r="B56" s="95" t="s">
        <v>493</v>
      </c>
      <c r="C56" s="95">
        <v>400</v>
      </c>
      <c r="D56" s="95"/>
      <c r="E56" s="74"/>
      <c r="F56" s="74"/>
      <c r="G56" s="74"/>
      <c r="H56" s="74"/>
      <c r="I56" s="74"/>
      <c r="J56" s="74"/>
      <c r="K56" s="74"/>
    </row>
    <row r="57" spans="1:11" x14ac:dyDescent="0.3">
      <c r="A57" s="95" t="s">
        <v>1548</v>
      </c>
      <c r="B57" s="95" t="s">
        <v>493</v>
      </c>
      <c r="C57" s="95">
        <f>285+91</f>
        <v>376</v>
      </c>
      <c r="D57" s="95"/>
      <c r="E57" s="74"/>
      <c r="F57" s="74"/>
      <c r="G57" s="74"/>
      <c r="H57" s="74"/>
      <c r="I57" s="74"/>
      <c r="J57" s="74"/>
      <c r="K57" s="74"/>
    </row>
    <row r="58" spans="1:11" x14ac:dyDescent="0.3">
      <c r="A58" s="95" t="s">
        <v>1611</v>
      </c>
      <c r="B58" s="95" t="s">
        <v>1311</v>
      </c>
      <c r="C58" s="95">
        <v>650000</v>
      </c>
      <c r="D58" s="95">
        <v>600000</v>
      </c>
      <c r="E58" s="74"/>
      <c r="F58" s="74"/>
      <c r="G58" s="74"/>
      <c r="H58" s="74"/>
      <c r="I58" s="74"/>
      <c r="J58" s="74"/>
      <c r="K58" s="74"/>
    </row>
    <row r="59" spans="1:11" x14ac:dyDescent="0.3">
      <c r="A59" s="95" t="s">
        <v>1545</v>
      </c>
      <c r="B59" s="95" t="s">
        <v>493</v>
      </c>
      <c r="C59" s="95">
        <v>90</v>
      </c>
      <c r="D59" s="95"/>
      <c r="E59" s="74"/>
      <c r="F59" s="74"/>
      <c r="G59" s="74"/>
      <c r="H59" s="74"/>
      <c r="I59" s="74"/>
      <c r="J59" s="74"/>
      <c r="K59" s="74"/>
    </row>
    <row r="60" spans="1:11" x14ac:dyDescent="0.3">
      <c r="A60" s="98" t="s">
        <v>1546</v>
      </c>
      <c r="B60" s="95" t="s">
        <v>1311</v>
      </c>
      <c r="C60" s="95">
        <v>150</v>
      </c>
      <c r="D60" s="95"/>
      <c r="E60" s="74"/>
      <c r="F60" s="74"/>
      <c r="G60" s="74"/>
      <c r="H60" s="74"/>
      <c r="I60" s="74"/>
      <c r="J60" s="74"/>
      <c r="K60" s="74"/>
    </row>
    <row r="61" spans="1:11" x14ac:dyDescent="0.3">
      <c r="A61" s="98" t="s">
        <v>1549</v>
      </c>
      <c r="B61" s="95" t="s">
        <v>1311</v>
      </c>
      <c r="C61" s="98">
        <v>500</v>
      </c>
      <c r="D61" s="95"/>
      <c r="E61" s="74"/>
      <c r="F61" s="74"/>
      <c r="G61" s="74"/>
      <c r="H61" s="74"/>
      <c r="I61" s="74"/>
      <c r="J61" s="74"/>
      <c r="K61" s="74"/>
    </row>
    <row r="62" spans="1:11" x14ac:dyDescent="0.3">
      <c r="A62" s="98" t="s">
        <v>1550</v>
      </c>
      <c r="B62" s="95" t="s">
        <v>1311</v>
      </c>
      <c r="C62" s="98">
        <v>36000</v>
      </c>
      <c r="D62" s="95"/>
      <c r="E62" s="74"/>
      <c r="F62" s="74"/>
      <c r="G62" s="74"/>
      <c r="H62" s="74"/>
      <c r="I62" s="74"/>
      <c r="J62" s="74"/>
      <c r="K62" s="74"/>
    </row>
    <row r="63" spans="1:11" x14ac:dyDescent="0.3">
      <c r="A63" s="98" t="s">
        <v>1613</v>
      </c>
      <c r="B63" s="95" t="s">
        <v>1614</v>
      </c>
      <c r="C63" s="98">
        <v>4000</v>
      </c>
      <c r="D63" s="95"/>
      <c r="E63" s="74"/>
      <c r="F63" s="74"/>
      <c r="G63" s="74"/>
      <c r="H63" s="74"/>
      <c r="I63" s="74"/>
      <c r="J63" s="74"/>
      <c r="K63" s="74"/>
    </row>
    <row r="64" spans="1:11" x14ac:dyDescent="0.3">
      <c r="A64" s="98" t="s">
        <v>1616</v>
      </c>
      <c r="B64" s="95" t="s">
        <v>1617</v>
      </c>
      <c r="C64" s="98">
        <v>400</v>
      </c>
      <c r="D64" s="95"/>
      <c r="E64" s="74" t="s">
        <v>1618</v>
      </c>
      <c r="F64" s="74"/>
      <c r="G64" s="74"/>
      <c r="H64" s="74"/>
      <c r="I64" s="74"/>
      <c r="J64" s="74"/>
      <c r="K64" s="74"/>
    </row>
    <row r="65" spans="1:11" x14ac:dyDescent="0.3">
      <c r="A65" s="98" t="s">
        <v>1551</v>
      </c>
      <c r="B65" s="95" t="s">
        <v>1311</v>
      </c>
      <c r="C65" s="287">
        <f>2000/18*0.5</f>
        <v>55.555555555555557</v>
      </c>
      <c r="D65" s="95"/>
      <c r="E65" s="74"/>
      <c r="F65" s="74"/>
      <c r="G65" s="74"/>
      <c r="H65" s="74"/>
      <c r="I65" s="74"/>
      <c r="J65" s="74"/>
      <c r="K65" s="74"/>
    </row>
    <row r="66" spans="1:11" x14ac:dyDescent="0.3">
      <c r="A66" s="74"/>
      <c r="B66" s="74"/>
      <c r="C66" s="74"/>
      <c r="D66" s="74"/>
      <c r="E66" s="74"/>
      <c r="F66" s="74"/>
      <c r="G66" s="74"/>
      <c r="H66" s="74"/>
      <c r="I66" s="74"/>
      <c r="J66" s="74"/>
      <c r="K66" s="74"/>
    </row>
    <row r="67" spans="1:11" x14ac:dyDescent="0.3">
      <c r="A67" s="74"/>
      <c r="B67" s="74"/>
      <c r="C67" s="74"/>
      <c r="D67" s="74"/>
      <c r="E67" s="74"/>
      <c r="F67" s="74"/>
      <c r="G67" s="74"/>
      <c r="H67" s="74"/>
      <c r="I67" s="74"/>
      <c r="J67" s="74"/>
      <c r="K67" s="74"/>
    </row>
    <row r="68" spans="1:11" x14ac:dyDescent="0.3">
      <c r="A68" s="74"/>
      <c r="B68" s="74"/>
      <c r="C68" s="74"/>
      <c r="D68" s="74"/>
      <c r="E68" s="74"/>
      <c r="F68" s="74"/>
      <c r="G68" s="74"/>
      <c r="H68" s="74"/>
      <c r="I68" s="74"/>
      <c r="J68" s="74"/>
      <c r="K68" s="74"/>
    </row>
    <row r="69" spans="1:11" x14ac:dyDescent="0.3">
      <c r="A69" s="74"/>
      <c r="B69" s="74"/>
      <c r="C69" s="74"/>
      <c r="D69" s="74"/>
      <c r="E69" s="74"/>
      <c r="F69" s="74"/>
      <c r="G69" s="74"/>
      <c r="H69" s="74"/>
      <c r="I69" s="74"/>
      <c r="J69" s="74"/>
      <c r="K69" s="74"/>
    </row>
    <row r="70" spans="1:11" x14ac:dyDescent="0.3">
      <c r="A70" s="74"/>
      <c r="B70" s="74"/>
      <c r="C70" s="74"/>
      <c r="D70" s="74"/>
      <c r="E70" s="74"/>
      <c r="F70" s="74"/>
      <c r="G70" s="74"/>
      <c r="H70" s="74"/>
      <c r="I70" s="74"/>
      <c r="J70" s="74"/>
      <c r="K70" s="74"/>
    </row>
    <row r="71" spans="1:11" x14ac:dyDescent="0.3">
      <c r="A71" s="74"/>
      <c r="B71" s="74"/>
      <c r="C71" s="74"/>
      <c r="D71" s="74"/>
      <c r="E71" s="74"/>
      <c r="F71" s="74"/>
      <c r="G71" s="74"/>
      <c r="H71" s="74"/>
      <c r="I71" s="74"/>
      <c r="J71" s="74"/>
      <c r="K71" s="74"/>
    </row>
    <row r="72" spans="1:11" x14ac:dyDescent="0.3">
      <c r="A72" s="74"/>
      <c r="B72" s="74"/>
      <c r="C72" s="74"/>
      <c r="D72" s="74"/>
      <c r="E72" s="74"/>
      <c r="F72" s="74"/>
      <c r="G72" s="74"/>
      <c r="H72" s="74"/>
      <c r="I72" s="74"/>
      <c r="J72" s="74"/>
      <c r="K72" s="74"/>
    </row>
    <row r="73" spans="1:11" x14ac:dyDescent="0.3">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под биллинг</cp:lastModifiedBy>
  <cp:lastPrinted>2017-11-01T10:46:24Z</cp:lastPrinted>
  <dcterms:created xsi:type="dcterms:W3CDTF">2016-10-10T08:58:27Z</dcterms:created>
  <dcterms:modified xsi:type="dcterms:W3CDTF">2017-11-01T10:54:38Z</dcterms:modified>
  <cp:category>Приложение</cp:category>
</cp:coreProperties>
</file>