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Заявка в ФСР_ЖКХ_2\Заявка_ИТОГ\"/>
    </mc:Choice>
  </mc:AlternateContent>
  <workbookProtection workbookPassword="EDC7" lockStructure="1"/>
  <bookViews>
    <workbookView minimized="1" xWindow="0" yWindow="0" windowWidth="15348" windowHeight="3732" tabRatio="839" firstSheet="1" activeTab="1"/>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6" l="1"/>
  <c r="E140" i="5" l="1"/>
  <c r="E284" i="5"/>
  <c r="F284" i="5" s="1"/>
  <c r="D247" i="5" l="1"/>
  <c r="D249" i="5"/>
  <c r="D246" i="5"/>
  <c r="F245" i="5"/>
  <c r="E219" i="5"/>
  <c r="F219"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6" i="5" l="1"/>
  <c r="AA56" i="15" l="1"/>
  <c r="AA55" i="15"/>
  <c r="AA44" i="15"/>
  <c r="AA49" i="15"/>
  <c r="J35" i="15"/>
  <c r="H35" i="15" s="1"/>
  <c r="A49" i="15" l="1"/>
  <c r="AD49" i="15" s="1"/>
  <c r="A55" i="15"/>
  <c r="AD55" i="15" s="1"/>
  <c r="A44" i="15"/>
  <c r="AD44" i="15" s="1"/>
  <c r="A56" i="15"/>
  <c r="AD56" i="15" s="1"/>
  <c r="D13" i="5"/>
  <c r="E6" i="16" l="1"/>
  <c r="D33" i="16" s="1"/>
  <c r="F13" i="5" l="1"/>
  <c r="F12" i="5" l="1"/>
  <c r="F63" i="5" l="1"/>
  <c r="F50" i="5"/>
  <c r="H56" i="15" l="1"/>
  <c r="H58" i="15"/>
  <c r="H55" i="15"/>
  <c r="H52" i="15"/>
  <c r="H50" i="15"/>
  <c r="H49" i="15"/>
  <c r="H48" i="15"/>
  <c r="H47" i="15" s="1"/>
  <c r="H45" i="15"/>
  <c r="H44" i="15"/>
  <c r="H43" i="15"/>
  <c r="H39" i="15"/>
  <c r="H38" i="15"/>
  <c r="H34" i="15"/>
  <c r="H24" i="15"/>
  <c r="H42" i="15" l="1"/>
  <c r="F240" i="5"/>
  <c r="E243" i="5" l="1"/>
  <c r="D243" i="5"/>
  <c r="AI12" i="4"/>
  <c r="AI11" i="4" s="1"/>
  <c r="AL24" i="4" l="1"/>
  <c r="E159" i="5" l="1"/>
  <c r="F60" i="5"/>
  <c r="L252" i="5" l="1"/>
  <c r="F236"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C114"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3" i="8"/>
  <c r="C25"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J32" i="15"/>
  <c r="H32" i="15" s="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B79" i="15" s="1"/>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L38" i="14" l="1"/>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P38" i="15"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2" i="15" s="1"/>
  <c r="T32"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9"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D162" i="20" l="1"/>
  <c r="M161" i="6"/>
  <c r="G51" i="5" l="1"/>
  <c r="B137" i="20"/>
  <c r="C137" i="6"/>
  <c r="AM50" i="6" s="1"/>
  <c r="AM51" i="6" s="1"/>
  <c r="P161" i="6"/>
  <c r="N161" i="6"/>
  <c r="Q161" i="6"/>
  <c r="R161" i="6"/>
  <c r="J161" i="6"/>
  <c r="L161" i="6"/>
  <c r="K161" i="6"/>
  <c r="D161" i="6"/>
  <c r="F23" i="5"/>
  <c r="E285" i="5" s="1"/>
  <c r="C27" i="16"/>
  <c r="H161" i="6"/>
  <c r="G161" i="6"/>
  <c r="I161" i="6"/>
  <c r="O161" i="6"/>
  <c r="D162" i="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P39" i="15" l="1"/>
  <c r="T39" i="15" s="1"/>
  <c r="U38" i="15" s="1"/>
  <c r="W38" i="15" s="1"/>
  <c r="C52" i="16" s="1"/>
  <c r="F52" i="16" s="1"/>
  <c r="U39" i="15" l="1"/>
  <c r="W39" i="15" s="1"/>
  <c r="C53" i="16" s="1"/>
  <c r="F53" i="16" s="1"/>
  <c r="V39" i="15"/>
  <c r="O7" i="15"/>
  <c r="S14" i="15"/>
  <c r="W14" i="15" s="1"/>
  <c r="C44" i="16" s="1"/>
  <c r="F44" i="16" s="1"/>
  <c r="U32" i="15"/>
  <c r="U31" i="15" s="1"/>
  <c r="R7" i="15" l="1"/>
  <c r="S7" i="15" s="1"/>
  <c r="V7" i="15"/>
  <c r="U36" i="15"/>
  <c r="U6" i="15" s="1"/>
  <c r="W7" i="15" l="1"/>
  <c r="J76" i="18" l="1"/>
  <c r="AA76" i="18" s="1"/>
  <c r="G49" i="5"/>
  <c r="E43" i="5" l="1"/>
  <c r="D179" i="20"/>
  <c r="D185" i="20" s="1"/>
  <c r="D182" i="6"/>
  <c r="D188" i="6" s="1"/>
  <c r="D41" i="15"/>
  <c r="D180" i="20"/>
  <c r="D186" i="20" s="1"/>
  <c r="E67" i="5"/>
  <c r="E278" i="5" s="1"/>
  <c r="E289" i="5" s="1"/>
  <c r="D181" i="6"/>
  <c r="D187" i="6" s="1"/>
  <c r="M189" i="20" l="1"/>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C37" i="16"/>
  <c r="F87" i="15"/>
  <c r="B80" i="15"/>
  <c r="F91" i="15"/>
  <c r="F88" i="15"/>
  <c r="F86" i="15"/>
  <c r="C33" i="16"/>
  <c r="C34" i="16"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D34" i="16"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4" i="20"/>
  <c r="Z63" i="20"/>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Z67" i="20"/>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Z40"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R40"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R67"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8" i="20"/>
  <c r="R56" i="20"/>
  <c r="R57" i="20" s="1"/>
  <c r="R55" i="20"/>
  <c r="R53" i="20"/>
  <c r="R54" i="20" s="1"/>
  <c r="L48" i="20"/>
  <c r="L49" i="20" s="1"/>
  <c r="Z46" i="20"/>
  <c r="Z45" i="20"/>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c r="L45" i="20"/>
  <c r="L46" i="20" s="1"/>
  <c r="Z42" i="20"/>
  <c r="Z43" i="20"/>
  <c r="J20" i="6"/>
  <c r="I17" i="6"/>
  <c r="I8" i="6"/>
  <c r="I7" i="6"/>
  <c r="K20" i="6"/>
  <c r="X55" i="20"/>
  <c r="X53" i="20"/>
  <c r="X54" i="20" s="1"/>
  <c r="AD63" i="20"/>
  <c r="AD64" i="20" s="1"/>
  <c r="L50" i="20"/>
  <c r="L52" i="20"/>
  <c r="Z56" i="20"/>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L65" i="20" s="1"/>
  <c r="L66" i="20" s="1"/>
  <c r="L67" i="20" s="1"/>
  <c r="AB38" i="20"/>
  <c r="AB65" i="20" s="1"/>
  <c r="AB66" i="20" s="1"/>
  <c r="AB67" i="20" s="1"/>
  <c r="Z38" i="20"/>
  <c r="Z65" i="20" s="1"/>
  <c r="Z66" i="20" s="1"/>
  <c r="R38" i="20"/>
  <c r="R65" i="20" s="1"/>
  <c r="R66" i="20" s="1"/>
  <c r="C8" i="6"/>
  <c r="L51" i="20"/>
  <c r="D69" i="20"/>
  <c r="D70" i="20" s="1"/>
  <c r="P38" i="20"/>
  <c r="P39" i="20" s="1"/>
  <c r="P40" i="20" s="1"/>
  <c r="AD42" i="20"/>
  <c r="AD43" i="20" s="1"/>
  <c r="J45" i="20"/>
  <c r="J46" i="20" s="1"/>
  <c r="Z57" i="20"/>
  <c r="L39" i="20"/>
  <c r="L40"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AB39" i="20" l="1"/>
  <c r="AB40" i="20" s="1"/>
  <c r="P65" i="20"/>
  <c r="P66" i="20" s="1"/>
  <c r="P67" i="20" s="1"/>
  <c r="N38" i="20"/>
  <c r="N65" i="20" s="1"/>
  <c r="N66" i="20" s="1"/>
  <c r="N67" i="20" s="1"/>
  <c r="R39" i="20"/>
  <c r="Z39" i="20"/>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P36" i="20" s="1"/>
  <c r="P37" i="20" s="1"/>
  <c r="N39" i="20"/>
  <c r="N40" i="20" s="1"/>
  <c r="D65" i="20"/>
  <c r="D35" i="20" s="1"/>
  <c r="C42" i="10" s="1"/>
  <c r="C48" i="10" s="1"/>
  <c r="C51" i="10" s="1"/>
  <c r="D108" i="20" s="1"/>
  <c r="A80" i="20"/>
  <c r="AF35" i="20"/>
  <c r="AF36" i="20" s="1"/>
  <c r="AF37" i="20" s="1"/>
  <c r="AB36" i="20"/>
  <c r="AB37" i="20" s="1"/>
  <c r="AB12" i="20"/>
  <c r="N41" i="10"/>
  <c r="N47" i="10" s="1"/>
  <c r="N50" i="10" s="1"/>
  <c r="AB108" i="20" s="1"/>
  <c r="AB106" i="20" s="1"/>
  <c r="N35" i="20"/>
  <c r="X35" i="20"/>
  <c r="R12" i="20"/>
  <c r="R36" i="20"/>
  <c r="R37" i="20" s="1"/>
  <c r="I41" i="10"/>
  <c r="I47" i="10" s="1"/>
  <c r="I50" i="10" s="1"/>
  <c r="R108" i="20" s="1"/>
  <c r="R106" i="20" s="1"/>
  <c r="S36" i="15"/>
  <c r="W37" i="15"/>
  <c r="V35" i="20"/>
  <c r="J65" i="20"/>
  <c r="J66" i="20" s="1"/>
  <c r="J67" i="20" s="1"/>
  <c r="J39" i="20"/>
  <c r="J40" i="20" s="1"/>
  <c r="Z36" i="20"/>
  <c r="Z37" i="20" s="1"/>
  <c r="M41" i="10"/>
  <c r="M47" i="10" s="1"/>
  <c r="M50" i="10" s="1"/>
  <c r="Z108" i="20" s="1"/>
  <c r="Z106" i="20" s="1"/>
  <c r="Z12" i="20"/>
  <c r="P12" i="20"/>
  <c r="AD65" i="20"/>
  <c r="AD66" i="20" s="1"/>
  <c r="AD67" i="20" s="1"/>
  <c r="AD39" i="20"/>
  <c r="AD40" i="20" s="1"/>
  <c r="S31" i="15"/>
  <c r="W32" i="15"/>
  <c r="T35" i="20"/>
  <c r="L36" i="20"/>
  <c r="L37" i="20" s="1"/>
  <c r="L12" i="20"/>
  <c r="F42" i="10"/>
  <c r="F48" i="10" s="1"/>
  <c r="F51" i="10" s="1"/>
  <c r="L108" i="20" s="1"/>
  <c r="L106" i="20" s="1"/>
  <c r="H41" i="10" l="1"/>
  <c r="H47" i="10" s="1"/>
  <c r="H50" i="10" s="1"/>
  <c r="P108" i="20" s="1"/>
  <c r="P106" i="20" s="1"/>
  <c r="P100" i="20" s="1"/>
  <c r="Z100" i="20"/>
  <c r="Z107" i="20"/>
  <c r="AB100" i="20"/>
  <c r="AB107" i="20"/>
  <c r="L100" i="20"/>
  <c r="L107" i="20"/>
  <c r="R100" i="20"/>
  <c r="R107" i="20"/>
  <c r="D66" i="20"/>
  <c r="D67" i="20" s="1"/>
  <c r="C80" i="20"/>
  <c r="D76" i="20"/>
  <c r="D77" i="20" s="1"/>
  <c r="AF12" i="20"/>
  <c r="AF13" i="20" s="1"/>
  <c r="AF14" i="20" s="1"/>
  <c r="D36" i="20"/>
  <c r="D37" i="20" s="1"/>
  <c r="J35" i="20"/>
  <c r="E42" i="10" s="1"/>
  <c r="E48" i="10" s="1"/>
  <c r="E51" i="10" s="1"/>
  <c r="J108" i="20" s="1"/>
  <c r="J106" i="20" s="1"/>
  <c r="D12" i="20"/>
  <c r="P41" i="10"/>
  <c r="P47" i="10" s="1"/>
  <c r="P50" i="10" s="1"/>
  <c r="AF108" i="20" s="1"/>
  <c r="AF106" i="20" s="1"/>
  <c r="S6" i="15"/>
  <c r="W31" i="15"/>
  <c r="C48" i="16"/>
  <c r="F48" i="16" s="1"/>
  <c r="AD35" i="20"/>
  <c r="Z13" i="20"/>
  <c r="Z14" i="20" s="1"/>
  <c r="Z9" i="20"/>
  <c r="Z10" i="20" s="1"/>
  <c r="Z11" i="20" s="1"/>
  <c r="N36" i="20"/>
  <c r="N37" i="20" s="1"/>
  <c r="N12" i="20"/>
  <c r="G41" i="10"/>
  <c r="G47" i="10" s="1"/>
  <c r="G50" i="10" s="1"/>
  <c r="N108" i="20" s="1"/>
  <c r="N106" i="20" s="1"/>
  <c r="L13" i="20"/>
  <c r="L14" i="20" s="1"/>
  <c r="L9" i="20"/>
  <c r="L10" i="20" s="1"/>
  <c r="L11" i="20" s="1"/>
  <c r="V36" i="20"/>
  <c r="V37" i="20" s="1"/>
  <c r="V12" i="20"/>
  <c r="K41" i="10"/>
  <c r="K47" i="10" s="1"/>
  <c r="K50" i="10" s="1"/>
  <c r="V108" i="20" s="1"/>
  <c r="V106" i="20" s="1"/>
  <c r="Q32" i="15"/>
  <c r="D106" i="20"/>
  <c r="P13" i="20"/>
  <c r="P14" i="20" s="1"/>
  <c r="P9" i="20"/>
  <c r="P10" i="20" s="1"/>
  <c r="P11" i="20" s="1"/>
  <c r="W36" i="15"/>
  <c r="C51" i="16"/>
  <c r="F51" i="16" s="1"/>
  <c r="R9" i="20"/>
  <c r="R10" i="20" s="1"/>
  <c r="R11" i="20" s="1"/>
  <c r="R13" i="20"/>
  <c r="R14" i="20" s="1"/>
  <c r="AB13" i="20"/>
  <c r="AB14" i="20" s="1"/>
  <c r="AB9" i="20"/>
  <c r="AB10" i="20" s="1"/>
  <c r="AB11" i="20" s="1"/>
  <c r="T36" i="20"/>
  <c r="T37" i="20" s="1"/>
  <c r="T12" i="20"/>
  <c r="J41" i="10"/>
  <c r="J47" i="10" s="1"/>
  <c r="J50" i="10" s="1"/>
  <c r="T108" i="20" s="1"/>
  <c r="T106" i="20" s="1"/>
  <c r="X36" i="20"/>
  <c r="X37" i="20" s="1"/>
  <c r="X12" i="20"/>
  <c r="L41" i="10"/>
  <c r="L47" i="10" s="1"/>
  <c r="L50" i="10" s="1"/>
  <c r="X108" i="20" s="1"/>
  <c r="X106" i="20" s="1"/>
  <c r="P107" i="20" l="1"/>
  <c r="AF9" i="20"/>
  <c r="AF10" i="20" s="1"/>
  <c r="AF11" i="20" s="1"/>
  <c r="X100" i="20"/>
  <c r="X107" i="20"/>
  <c r="AF100" i="20"/>
  <c r="AF107" i="20"/>
  <c r="J100" i="20"/>
  <c r="J107" i="20"/>
  <c r="T100" i="20"/>
  <c r="T107" i="20"/>
  <c r="D100" i="20"/>
  <c r="D107" i="20"/>
  <c r="F95" i="15"/>
  <c r="E24" i="16"/>
  <c r="D11" i="16" s="1"/>
  <c r="V100" i="20"/>
  <c r="V107" i="20"/>
  <c r="N100" i="20"/>
  <c r="N107" i="20"/>
  <c r="D9" i="20"/>
  <c r="D10" i="20" s="1"/>
  <c r="D11" i="20" s="1"/>
  <c r="D21" i="16"/>
  <c r="D20" i="16" s="1"/>
  <c r="R18" i="20"/>
  <c r="R101" i="20"/>
  <c r="L18" i="20"/>
  <c r="L101" i="20"/>
  <c r="AB18" i="20"/>
  <c r="AB101" i="20"/>
  <c r="Z18" i="20"/>
  <c r="Z101" i="20"/>
  <c r="P18" i="20"/>
  <c r="P101" i="20"/>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14" i="20" s="1"/>
  <c r="T9" i="20"/>
  <c r="T10" i="20" s="1"/>
  <c r="T11" i="20" s="1"/>
  <c r="V13" i="20"/>
  <c r="V14" i="20" s="1"/>
  <c r="V9" i="20"/>
  <c r="V10" i="20" s="1"/>
  <c r="V11" i="20" s="1"/>
  <c r="D115" i="20"/>
  <c r="D18" i="20"/>
  <c r="D23" i="16" s="1"/>
  <c r="AD36" i="20"/>
  <c r="AD37" i="20" s="1"/>
  <c r="AD12" i="20"/>
  <c r="O41" i="10"/>
  <c r="O47" i="10" s="1"/>
  <c r="O50" i="10" s="1"/>
  <c r="AD108" i="20" s="1"/>
  <c r="AD106" i="20" s="1"/>
  <c r="X13" i="20"/>
  <c r="X14" i="20" s="1"/>
  <c r="X9" i="20"/>
  <c r="X10" i="20" s="1"/>
  <c r="X11" i="20" s="1"/>
  <c r="Q31" i="15"/>
  <c r="X32" i="15"/>
  <c r="N13" i="20"/>
  <c r="N14" i="20" s="1"/>
  <c r="N9" i="20"/>
  <c r="N10" i="20" s="1"/>
  <c r="N11" i="20" s="1"/>
  <c r="W6" i="15"/>
  <c r="J13" i="20" l="1"/>
  <c r="J14" i="20" s="1"/>
  <c r="AD100" i="20"/>
  <c r="AD107" i="20"/>
  <c r="D14" i="20"/>
  <c r="E21" i="16"/>
  <c r="E20" i="16" s="1"/>
  <c r="F93" i="15" s="1"/>
  <c r="D19" i="16"/>
  <c r="P19" i="20"/>
  <c r="P20" i="20" s="1"/>
  <c r="P6" i="20"/>
  <c r="Z19" i="20"/>
  <c r="Z20" i="20" s="1"/>
  <c r="Z6" i="20"/>
  <c r="AB19" i="20"/>
  <c r="AB20" i="20" s="1"/>
  <c r="AB6" i="20"/>
  <c r="L19" i="20"/>
  <c r="L20" i="20" s="1"/>
  <c r="L6" i="20"/>
  <c r="R19" i="20"/>
  <c r="R20" i="20" s="1"/>
  <c r="R6" i="20"/>
  <c r="N18" i="20"/>
  <c r="N101" i="20"/>
  <c r="V18" i="20"/>
  <c r="V101" i="20"/>
  <c r="D101" i="20"/>
  <c r="E23" i="16"/>
  <c r="F94" i="15" s="1"/>
  <c r="T18" i="20"/>
  <c r="T101" i="20"/>
  <c r="J18" i="20"/>
  <c r="J19" i="20" s="1"/>
  <c r="J20" i="20" s="1"/>
  <c r="J101" i="20"/>
  <c r="AF18" i="20"/>
  <c r="AF101" i="20"/>
  <c r="X18" i="20"/>
  <c r="X101" i="20"/>
  <c r="J6" i="20"/>
  <c r="J23" i="20" s="1"/>
  <c r="J24" i="20" s="1"/>
  <c r="X31" i="15"/>
  <c r="Y32" i="15"/>
  <c r="Y31" i="15" s="1"/>
  <c r="Y6" i="15" s="1"/>
  <c r="AD9" i="20"/>
  <c r="AD10" i="20" s="1"/>
  <c r="AD11" i="20" s="1"/>
  <c r="AD13" i="20"/>
  <c r="AD14" i="20" s="1"/>
  <c r="C27" i="20"/>
  <c r="D19" i="20"/>
  <c r="D20" i="20" s="1"/>
  <c r="D6" i="20"/>
  <c r="J7" i="20"/>
  <c r="J8" i="20" s="1"/>
  <c r="X19" i="20" l="1"/>
  <c r="X20" i="20" s="1"/>
  <c r="X6" i="20"/>
  <c r="AF19" i="20"/>
  <c r="AF20" i="20" s="1"/>
  <c r="AF6" i="20"/>
  <c r="T19" i="20"/>
  <c r="T20" i="20" s="1"/>
  <c r="T6" i="20"/>
  <c r="V19" i="20"/>
  <c r="V20" i="20" s="1"/>
  <c r="V6" i="20"/>
  <c r="N19" i="20"/>
  <c r="N20" i="20" s="1"/>
  <c r="N6" i="20"/>
  <c r="R7" i="20"/>
  <c r="R8" i="20" s="1"/>
  <c r="R23" i="20"/>
  <c r="R24" i="20" s="1"/>
  <c r="L23" i="20"/>
  <c r="L24" i="20" s="1"/>
  <c r="L7" i="20"/>
  <c r="L8" i="20" s="1"/>
  <c r="AB23" i="20"/>
  <c r="AB24" i="20" s="1"/>
  <c r="AB7" i="20"/>
  <c r="AB8" i="20" s="1"/>
  <c r="Z23" i="20"/>
  <c r="Z24" i="20" s="1"/>
  <c r="Z7" i="20"/>
  <c r="Z8" i="20" s="1"/>
  <c r="P23" i="20"/>
  <c r="P24" i="20" s="1"/>
  <c r="P7" i="20"/>
  <c r="P8" i="20" s="1"/>
  <c r="F89" i="15"/>
  <c r="C36" i="16"/>
  <c r="AD18" i="20"/>
  <c r="AD101" i="20"/>
  <c r="D7" i="20"/>
  <c r="F96" i="15" s="1"/>
  <c r="F97" i="15" s="1"/>
  <c r="D23" i="20"/>
  <c r="AD19" i="20" l="1"/>
  <c r="AD20" i="20" s="1"/>
  <c r="AD6" i="20"/>
  <c r="F90" i="15"/>
  <c r="C35" i="16"/>
  <c r="N7" i="20"/>
  <c r="N8" i="20" s="1"/>
  <c r="N23" i="20"/>
  <c r="N24" i="20" s="1"/>
  <c r="V7" i="20"/>
  <c r="V8" i="20" s="1"/>
  <c r="V23" i="20"/>
  <c r="V24" i="20" s="1"/>
  <c r="T23" i="20"/>
  <c r="T24" i="20" s="1"/>
  <c r="T7" i="20"/>
  <c r="T8" i="20" s="1"/>
  <c r="AF7" i="20"/>
  <c r="AF8" i="20" s="1"/>
  <c r="AF23" i="20"/>
  <c r="AF24" i="20" s="1"/>
  <c r="X23" i="20"/>
  <c r="X24" i="20" s="1"/>
  <c r="X7" i="20"/>
  <c r="X8" i="20" s="1"/>
  <c r="D24" i="20"/>
  <c r="D8" i="20"/>
  <c r="AD23" i="20" l="1"/>
  <c r="AD24" i="20" s="1"/>
  <c r="AD7" i="20"/>
  <c r="AD8"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<sst xmlns="http://schemas.openxmlformats.org/spreadsheetml/2006/main" count="5354" uniqueCount="1949">
  <si>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</si>
  <si>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</si>
  <si>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</si>
  <si>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</si>
  <si>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</si>
  <si>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</si>
  <si>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</si>
  <si>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</si>
  <si>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</si>
  <si>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</si>
  <si>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</si>
  <si>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</si>
  <si>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</si>
  <si>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</si>
  <si>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</si>
  <si>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</si>
  <si>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</si>
  <si>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</si>
  <si>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</si>
  <si>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</si>
  <si>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</si>
  <si>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</si>
  <si>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</si>
  <si>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</si>
  <si>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</si>
  <si>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</si>
  <si>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</si>
  <si>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</si>
  <si>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</si>
  <si>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</si>
  <si>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</si>
  <si>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</si>
  <si>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</si>
  <si>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</si>
  <si>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</si>
  <si>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</si>
  <si>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</si>
  <si>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</si>
  <si>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</si>
  <si>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</si>
  <si>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</si>
  <si>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</si>
  <si>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</si>
  <si>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</si>
  <si>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</si>
  <si>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</si>
  <si>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</si>
  <si>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</si>
  <si>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</si>
  <si>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</si>
  <si>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</si>
  <si>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</si>
  <si>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</si>
  <si>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</si>
  <si>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</si>
  <si>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</si>
  <si>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</si>
  <si>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</si>
  <si>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</si>
  <si>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</si>
  <si>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</si>
  <si>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</si>
  <si>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</si>
  <si>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</si>
  <si>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</si>
  <si>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</si>
  <si>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</si>
  <si>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</si>
  <si>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</si>
  <si>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</si>
  <si>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</si>
  <si>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</si>
  <si>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</si>
  <si>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</si>
  <si>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</si>
  <si>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</si>
  <si>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</si>
  <si>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</si>
  <si>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</si>
  <si>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</si>
  <si>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</si>
  <si>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</si>
  <si>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</si>
  <si>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</si>
  <si>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</si>
  <si>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</si>
  <si>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</si>
  <si>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</si>
  <si>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</si>
  <si>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</si>
  <si>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</si>
  <si>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</si>
  <si>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</si>
  <si>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</si>
  <si>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</si>
  <si>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</si>
  <si>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</si>
  <si>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</si>
  <si>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</si>
  <si>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</si>
  <si>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</si>
  <si>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</si>
  <si>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</si>
  <si>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</si>
  <si>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</si>
  <si>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</si>
  <si>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</si>
  <si>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</si>
  <si>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</si>
  <si>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</si>
  <si>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</si>
  <si>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</si>
  <si>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</si>
  <si>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</si>
  <si>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</si>
  <si>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</si>
  <si>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</si>
  <si>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</si>
  <si>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</si>
  <si>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</si>
  <si>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</si>
  <si>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</si>
  <si>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</si>
  <si>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</si>
  <si>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</si>
  <si>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</si>
  <si>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</si>
  <si>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</si>
  <si>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</si>
  <si>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</si>
  <si>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</si>
  <si>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</si>
  <si>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</si>
  <si>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</si>
  <si>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</si>
  <si>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</si>
  <si>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</si>
  <si>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</si>
  <si>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</si>
  <si>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</si>
  <si>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</si>
  <si>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</si>
  <si>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</si>
  <si>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</si>
  <si>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</si>
  <si>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</si>
  <si>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</si>
  <si>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</si>
  <si>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</si>
  <si>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</si>
  <si>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</si>
  <si>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</si>
  <si>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</si>
  <si>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</si>
  <si>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</si>
  <si>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</si>
  <si>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</si>
  <si>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</si>
  <si>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</si>
  <si>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</si>
  <si>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</si>
  <si>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</si>
  <si>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</si>
  <si>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</si>
  <si>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</si>
  <si>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</si>
  <si>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</si>
  <si>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</si>
  <si>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</si>
  <si>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</si>
  <si>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</si>
  <si>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</si>
  <si>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</si>
  <si>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</si>
  <si>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</si>
  <si>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</si>
  <si>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</si>
  <si>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</si>
  <si>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</si>
  <si>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</si>
  <si>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</si>
  <si>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</si>
  <si>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</si>
  <si>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</si>
  <si>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</si>
  <si>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</si>
  <si>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</si>
  <si>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</si>
  <si>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</si>
  <si>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</si>
  <si>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</si>
  <si>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</si>
  <si>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</si>
  <si>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</si>
  <si>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</si>
  <si>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</si>
  <si>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</si>
  <si>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</si>
  <si>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</si>
  <si>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</si>
  <si>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</si>
  <si>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</si>
  <si>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</si>
  <si>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</si>
  <si>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</si>
  <si>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</si>
  <si>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</si>
  <si>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</si>
  <si>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</si>
  <si>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</si>
  <si>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</si>
  <si>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</si>
  <si>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</si>
  <si>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</si>
  <si>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</si>
  <si>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</si>
  <si>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</si>
  <si>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</si>
  <si>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</si>
  <si>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</si>
  <si>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</si>
  <si>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</si>
  <si>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</si>
  <si>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</si>
  <si>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</si>
  <si>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</si>
  <si>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</si>
  <si>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</si>
  <si>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</si>
  <si>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</si>
  <si>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</si>
  <si>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</si>
  <si>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</si>
  <si>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</si>
  <si>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</si>
  <si>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</si>
  <si>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</si>
  <si>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</si>
  <si>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</si>
  <si>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</si>
  <si>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</si>
  <si>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</si>
  <si>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</si>
  <si>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</si>
  <si>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</si>
  <si>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</si>
  <si>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</si>
  <si>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</si>
  <si>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</si>
  <si>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</si>
  <si>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</si>
  <si>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</si>
  <si>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</si>
  <si>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</si>
  <si>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</si>
  <si>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</si>
  <si>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</si>
  <si>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</si>
  <si>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</si>
  <si>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</si>
  <si>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</si>
  <si>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</si>
  <si>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</si>
  <si>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</si>
  <si>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</si>
  <si>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</si>
  <si>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</si>
  <si>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</si>
  <si>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</si>
  <si>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</si>
  <si>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</si>
  <si>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</si>
  <si>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</si>
  <si>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</si>
  <si>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</si>
  <si>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</si>
  <si>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</si>
  <si>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</si>
  <si>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</si>
  <si>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</si>
  <si>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</si>
  <si>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</si>
  <si>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</si>
  <si>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</si>
  <si>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</si>
  <si>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</si>
  <si>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</si>
  <si>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</si>
  <si>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</si>
  <si>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</si>
  <si>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</si>
  <si>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</si>
  <si>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</si>
  <si>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</si>
  <si>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</si>
  <si>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</si>
  <si>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</si>
  <si>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</si>
  <si>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</si>
  <si>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</si>
  <si>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</si>
  <si>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</si>
  <si>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</si>
  <si>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</si>
  <si>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</si>
  <si>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</si>
  <si>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</si>
  <si>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</si>
  <si>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</si>
  <si>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</si>
  <si>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</si>
  <si>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</si>
  <si>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</si>
  <si>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</si>
  <si>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</si>
  <si>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</si>
  <si>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</si>
  <si>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</si>
  <si>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</si>
  <si>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</si>
  <si>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</si>
  <si>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</si>
  <si>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</si>
  <si>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</si>
  <si>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</si>
  <si>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</si>
  <si>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</si>
  <si>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</si>
  <si>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</si>
  <si>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</si>
  <si>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</si>
  <si>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</si>
  <si>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</si>
  <si>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</si>
  <si>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</si>
  <si>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</si>
  <si>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</si>
  <si>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</si>
  <si>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</si>
  <si>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</si>
  <si>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</si>
  <si>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</si>
  <si>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</si>
  <si>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</si>
  <si>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</si>
  <si>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</si>
  <si>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</si>
  <si>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</si>
  <si>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</si>
  <si>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</si>
  <si>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</si>
  <si>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</si>
  <si>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</si>
  <si>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</si>
  <si>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</si>
  <si>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</si>
  <si>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</si>
  <si>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</si>
  <si>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</si>
  <si>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</si>
  <si>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</si>
  <si>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</si>
  <si>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</si>
  <si>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</si>
  <si>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</si>
  <si>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</si>
  <si>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</si>
  <si>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</si>
  <si>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</si>
  <si>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</si>
  <si>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</si>
  <si>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</si>
  <si>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</si>
  <si>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</si>
  <si>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</si>
  <si>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</si>
  <si>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</si>
  <si>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</si>
  <si>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</si>
  <si>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</si>
  <si>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</si>
  <si>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</si>
  <si>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</si>
  <si>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</si>
  <si>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</si>
  <si>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</si>
  <si>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</si>
  <si>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</si>
  <si>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</si>
  <si>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</si>
  <si>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</si>
  <si>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</si>
  <si>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</si>
  <si>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</si>
  <si>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</si>
  <si>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</si>
  <si>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</si>
  <si>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</si>
  <si>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</si>
  <si>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</si>
  <si>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</si>
  <si>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</si>
  <si>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</si>
  <si>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</si>
  <si>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</si>
  <si>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</si>
  <si>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</si>
  <si>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</si>
  <si>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</si>
  <si>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</si>
  <si>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</si>
  <si>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</si>
  <si>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</si>
  <si>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</si>
  <si>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</si>
  <si>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</si>
  <si>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</si>
  <si>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</si>
  <si>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</si>
  <si>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</si>
  <si>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</si>
  <si>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</si>
  <si>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</si>
  <si>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</si>
  <si>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</si>
  <si>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</si>
  <si>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</si>
  <si>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</si>
  <si>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</si>
  <si>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</si>
  <si>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</si>
  <si>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</si>
  <si>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</si>
  <si>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</si>
  <si>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</si>
  <si>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</si>
  <si>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</si>
  <si>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</si>
  <si>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</si>
  <si>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</si>
  <si>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</si>
  <si>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</si>
  <si>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</si>
  <si>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</si>
  <si>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</si>
  <si>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</si>
  <si>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</si>
  <si>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</si>
  <si>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</si>
  <si>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</si>
  <si>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</si>
  <si>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</si>
  <si>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</si>
  <si>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</si>
  <si>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</si>
  <si>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</si>
  <si>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</si>
  <si>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</si>
  <si>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</si>
  <si>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</si>
  <si>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</si>
  <si>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</si>
  <si>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</si>
  <si>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</si>
  <si>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</si>
  <si>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</si>
  <si>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</si>
  <si>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</si>
  <si>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</si>
  <si>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</si>
  <si>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</si>
  <si>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</si>
  <si>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</si>
  <si>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</si>
  <si>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</si>
  <si>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</si>
  <si>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</si>
  <si>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</si>
  <si>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</si>
  <si>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</si>
  <si>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</si>
  <si>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</si>
  <si>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</si>
  <si>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</si>
  <si>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</si>
  <si>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</si>
  <si>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</si>
  <si>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</si>
  <si>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</si>
  <si>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</si>
  <si>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</si>
  <si>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</si>
  <si>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</si>
  <si>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</si>
  <si>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</si>
  <si>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</si>
  <si>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</si>
  <si>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</si>
  <si>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</si>
  <si>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</si>
  <si>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</si>
  <si>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</si>
  <si>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</si>
  <si>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</si>
  <si>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</si>
  <si>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</si>
  <si>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</si>
  <si>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</si>
  <si>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</si>
  <si>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</si>
  <si>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</si>
  <si>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</si>
  <si>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</si>
  <si>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</si>
  <si>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</si>
  <si>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</si>
  <si>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</si>
  <si>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</si>
  <si>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</si>
  <si>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</si>
  <si>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</si>
  <si>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</si>
  <si>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</si>
  <si>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</si>
  <si>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</si>
  <si>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</si>
  <si>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</si>
  <si>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</si>
  <si>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</si>
  <si>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</si>
  <si>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</si>
  <si>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</si>
  <si>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</si>
  <si>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</si>
  <si>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</si>
  <si>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</si>
  <si>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</si>
  <si>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</si>
  <si>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</si>
  <si>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</si>
  <si>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</si>
  <si>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</si>
  <si>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</si>
  <si>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</si>
  <si>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</si>
  <si>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</si>
  <si>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</si>
  <si>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</si>
  <si>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</si>
  <si>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</si>
  <si>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</si>
  <si>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</si>
  <si>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</si>
  <si>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</si>
  <si>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</si>
  <si>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</si>
  <si>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</si>
  <si>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</si>
  <si>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</si>
  <si>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</si>
  <si>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</si>
  <si>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</si>
  <si>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</si>
  <si>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</si>
  <si>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</si>
  <si>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</si>
  <si>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</si>
  <si>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</si>
  <si>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</si>
  <si>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</si>
  <si>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</si>
  <si>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</si>
  <si>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</si>
  <si>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</si>
  <si>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</si>
  <si>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</si>
  <si>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</si>
  <si>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</si>
  <si>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</si>
  <si>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</si>
  <si>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</si>
  <si>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</si>
  <si>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</si>
  <si>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</si>
  <si>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</si>
  <si>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</si>
  <si>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</si>
  <si>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</si>
  <si>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</si>
  <si>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</si>
  <si>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</si>
  <si>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</si>
  <si>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</si>
  <si>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</si>
  <si>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</si>
  <si>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</si>
  <si>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</si>
  <si>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</si>
  <si>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</si>
  <si>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</si>
  <si>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</si>
  <si>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</si>
  <si>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</si>
  <si>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</si>
  <si>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</si>
  <si>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</si>
  <si>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</si>
  <si>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</si>
  <si>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</si>
  <si>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</si>
  <si>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</si>
  <si>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</si>
  <si>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</si>
  <si>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</si>
  <si>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</si>
  <si>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</si>
  <si>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</si>
  <si>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</si>
  <si>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</si>
  <si>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</si>
  <si>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</si>
  <si>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</si>
  <si>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</si>
  <si>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</si>
  <si>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</si>
  <si>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</si>
  <si>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</si>
  <si>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</si>
  <si>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</si>
  <si>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</si>
  <si>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</si>
  <si>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</si>
  <si>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</si>
  <si>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</si>
  <si>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</si>
  <si>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</si>
  <si>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</si>
  <si>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</si>
  <si>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</si>
  <si>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</si>
  <si>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</si>
  <si>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</si>
  <si>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</si>
  <si>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</si>
  <si>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</si>
  <si>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</si>
  <si>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</si>
  <si>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</si>
  <si>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</si>
  <si>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</si>
  <si>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</si>
  <si>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</si>
  <si>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</si>
  <si>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</si>
  <si>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</si>
  <si>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</si>
  <si>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</si>
  <si>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</si>
  <si>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</si>
  <si>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</si>
  <si>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</si>
  <si>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</si>
  <si>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</si>
  <si>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</si>
  <si>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</si>
  <si>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</si>
  <si>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</si>
  <si>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</si>
  <si>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</si>
  <si>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</si>
  <si>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</si>
  <si>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</si>
  <si>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</si>
  <si>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</si>
  <si>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</si>
  <si>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</si>
  <si>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</si>
  <si>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</si>
  <si>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</si>
  <si>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</si>
  <si>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</si>
  <si>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</si>
  <si>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</si>
  <si>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</si>
  <si>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</si>
  <si>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</si>
  <si>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</si>
  <si>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</si>
  <si>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</si>
  <si>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</si>
  <si>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</si>
  <si>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</si>
  <si>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</si>
  <si>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</si>
  <si>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</si>
  <si>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</si>
  <si>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</si>
  <si>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</si>
  <si>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</si>
  <si>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</si>
  <si>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</si>
  <si>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</si>
  <si>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</si>
  <si>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</si>
  <si>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</si>
  <si>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</si>
  <si>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</si>
  <si>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</si>
  <si>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</si>
  <si>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</si>
  <si>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</si>
  <si>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</si>
  <si>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</si>
  <si>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</si>
  <si>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</si>
  <si>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</si>
  <si>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</si>
  <si>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</si>
  <si>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</si>
  <si>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</si>
  <si>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</si>
  <si>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</si>
  <si>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</si>
  <si>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</si>
  <si>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</si>
  <si>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</si>
  <si>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</si>
  <si>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</si>
  <si>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</si>
  <si>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</si>
  <si>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</si>
  <si>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</si>
  <si>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</si>
  <si>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</si>
  <si>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</si>
  <si>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</si>
  <si>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</si>
  <si>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</si>
  <si>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</si>
  <si>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</si>
  <si>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</si>
  <si>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</si>
  <si>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</si>
  <si>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</si>
  <si>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</si>
  <si>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</si>
  <si>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</si>
  <si>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</si>
  <si>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</si>
  <si>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</si>
  <si>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</si>
  <si>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</si>
  <si>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</si>
  <si>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</si>
  <si>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</si>
  <si>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</si>
  <si>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</si>
  <si>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</si>
  <si>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</si>
  <si>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</si>
  <si>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</si>
  <si>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</si>
  <si>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</si>
  <si>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</si>
  <si>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</si>
  <si>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</si>
  <si>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</si>
  <si>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</si>
  <si>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</si>
  <si>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</si>
  <si>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</si>
  <si>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</si>
  <si>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</si>
  <si>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</si>
  <si>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</si>
  <si>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</si>
  <si>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</si>
  <si>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</si>
  <si>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</si>
  <si>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</si>
  <si>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</si>
  <si>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</si>
  <si>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</si>
  <si>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</si>
  <si>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</si>
  <si>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</si>
  <si>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</si>
  <si>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</si>
  <si>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</si>
  <si>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</si>
  <si>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</si>
  <si>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</si>
  <si>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</si>
  <si>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</si>
  <si>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</si>
  <si>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</si>
  <si>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</si>
  <si>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</si>
  <si>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</si>
  <si>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</si>
  <si>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</si>
  <si>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</si>
  <si>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</si>
  <si>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</si>
  <si>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</si>
  <si>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</si>
  <si>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</si>
  <si>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</si>
  <si>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</si>
  <si>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</si>
  <si>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</si>
  <si>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</si>
  <si>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</si>
  <si>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</si>
  <si>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</si>
  <si>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</si>
  <si>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</si>
  <si>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</si>
  <si>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</si>
  <si>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</si>
  <si>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</si>
  <si>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</si>
  <si>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</si>
  <si>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</si>
  <si>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</si>
  <si>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</si>
  <si>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</si>
  <si>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</si>
  <si>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</si>
  <si>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</si>
  <si>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</si>
  <si>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</si>
  <si>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</si>
  <si>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</si>
  <si>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</si>
  <si>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</si>
  <si>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</si>
  <si>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</si>
  <si>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</si>
  <si>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</si>
  <si>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</si>
  <si>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</si>
  <si>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</si>
  <si>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</si>
  <si>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</si>
  <si>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</si>
  <si>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</si>
  <si>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</si>
  <si>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</si>
  <si>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</si>
  <si>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</si>
  <si>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</si>
  <si>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</si>
  <si>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</si>
  <si>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</si>
  <si>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</si>
  <si>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</si>
  <si>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</si>
  <si>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</si>
  <si>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</si>
  <si>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</si>
  <si>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</si>
  <si>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</si>
  <si>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</si>
  <si>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</si>
  <si>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</si>
  <si>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</si>
  <si>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</si>
  <si>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</si>
  <si>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</si>
  <si>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</si>
  <si>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</si>
  <si>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</si>
  <si>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</si>
  <si>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</si>
  <si>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</si>
  <si>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</si>
  <si>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</si>
  <si>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</si>
  <si>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</si>
  <si>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</si>
  <si>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</si>
  <si>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</si>
  <si>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</si>
  <si>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</si>
  <si>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</si>
  <si>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</si>
  <si>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</si>
  <si>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</si>
  <si>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</si>
  <si>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</si>
  <si>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</si>
  <si>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</si>
  <si>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</si>
  <si>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</si>
  <si>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</si>
  <si>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</si>
  <si>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</si>
  <si>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</si>
  <si>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</si>
  <si>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</si>
  <si>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</si>
  <si>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</si>
  <si>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</si>
  <si>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</si>
  <si>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</si>
  <si>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</si>
  <si>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</si>
  <si>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</si>
  <si>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</si>
  <si>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</si>
  <si>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</si>
  <si>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</si>
  <si>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</si>
  <si>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</si>
  <si>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</si>
  <si>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</si>
  <si>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</si>
  <si>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</si>
  <si>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</si>
  <si>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</si>
  <si>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</si>
  <si>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</si>
  <si>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</si>
  <si>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</si>
  <si>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</si>
  <si>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</si>
  <si>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</si>
  <si>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</si>
  <si>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</si>
  <si>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</si>
  <si>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</si>
  <si>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</si>
  <si>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</si>
  <si>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</si>
  <si>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</si>
  <si>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</si>
  <si>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</si>
  <si>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</si>
  <si>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</si>
  <si>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</si>
  <si>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</si>
  <si>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</si>
  <si>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</si>
  <si>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</si>
  <si>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</si>
  <si>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</si>
  <si>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</si>
  <si>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</si>
  <si>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</si>
  <si>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</si>
  <si>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</si>
  <si>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</si>
  <si>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</si>
  <si>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</si>
  <si>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</si>
  <si>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</si>
  <si>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</si>
  <si>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</si>
  <si>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</si>
  <si>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</si>
  <si>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</si>
  <si>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</si>
  <si>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</si>
  <si>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</si>
  <si>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</si>
  <si>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</si>
  <si>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</si>
  <si>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</si>
  <si>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</si>
  <si>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</si>
  <si>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</si>
  <si>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</si>
  <si>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</si>
  <si>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</si>
  <si>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</si>
  <si>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</si>
  <si>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</si>
  <si>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</si>
  <si>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</si>
  <si>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</si>
  <si>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</si>
  <si>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</si>
  <si>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</si>
  <si>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</si>
  <si>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</si>
  <si>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</si>
  <si>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</si>
  <si>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</si>
  <si>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</si>
  <si>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</si>
  <si>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</si>
  <si>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</si>
  <si>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</si>
  <si>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</si>
  <si>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</si>
  <si>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</si>
  <si>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</si>
  <si>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</si>
  <si>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</si>
  <si>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</si>
  <si>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</si>
  <si>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</si>
  <si>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</si>
  <si>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</si>
  <si>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</si>
  <si>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</si>
  <si>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</si>
  <si>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</si>
  <si>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</si>
  <si>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</si>
  <si>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</si>
  <si>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</si>
  <si>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</si>
  <si>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</si>
  <si>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</si>
  <si>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</si>
  <si>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</si>
  <si>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</si>
  <si>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</si>
  <si>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</si>
  <si>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</si>
  <si>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</si>
  <si>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</si>
  <si>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</si>
  <si>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</si>
  <si>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</si>
  <si>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</si>
  <si>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</si>
  <si>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</si>
  <si>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</si>
  <si>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</si>
  <si>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</si>
  <si>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</si>
  <si>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</si>
  <si>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</si>
  <si>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</si>
  <si>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</si>
  <si>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</si>
  <si>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</si>
  <si>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</si>
  <si>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</si>
  <si>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</si>
  <si>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</si>
  <si>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</si>
  <si>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</si>
  <si>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</si>
  <si>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</si>
  <si>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</si>
  <si>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</si>
  <si>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</si>
  <si>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</si>
  <si>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</si>
  <si>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</si>
  <si>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</si>
  <si>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</si>
  <si>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</si>
  <si>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</si>
  <si>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</si>
  <si>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</si>
  <si>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</si>
  <si>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</si>
  <si>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</si>
  <si>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</si>
  <si>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</si>
  <si>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</si>
  <si>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</si>
  <si>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</si>
  <si>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</si>
  <si>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</si>
  <si>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</si>
  <si>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</si>
  <si>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</si>
  <si>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</si>
  <si>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</si>
  <si>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</si>
  <si>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</si>
  <si>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</si>
  <si>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</si>
  <si>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</si>
  <si>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</si>
  <si>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</si>
  <si>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</si>
  <si>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</si>
  <si>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</si>
  <si>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</si>
  <si>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</si>
  <si>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</si>
  <si>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</si>
  <si>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</si>
  <si>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</si>
  <si>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</si>
  <si>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</si>
  <si>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</si>
  <si>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</si>
  <si>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</si>
  <si>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</si>
  <si>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</si>
  <si>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</si>
  <si>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</si>
  <si>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</si>
  <si>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</si>
  <si>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</si>
  <si>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</si>
  <si>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</si>
  <si>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</si>
  <si>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</si>
  <si>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</si>
  <si>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</si>
  <si>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</si>
  <si>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</si>
  <si>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</si>
  <si>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</si>
  <si>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</si>
  <si>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</si>
  <si>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</si>
  <si>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</si>
  <si>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</si>
  <si>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</si>
  <si>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</si>
  <si>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</si>
  <si>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</si>
  <si>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</si>
  <si>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</si>
  <si>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</si>
  <si>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</si>
  <si>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</si>
  <si>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</si>
  <si>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</si>
  <si>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</si>
  <si>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</si>
  <si>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</si>
  <si>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</si>
  <si>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</si>
  <si>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</si>
  <si>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</si>
  <si>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</si>
  <si>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</si>
  <si>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</si>
  <si>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</si>
  <si>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</si>
  <si>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</si>
  <si>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</si>
  <si>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</si>
  <si>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</si>
  <si>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</si>
  <si>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</si>
  <si>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</si>
  <si>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</si>
  <si>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</si>
  <si>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</si>
  <si>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</si>
  <si>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</si>
  <si>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</si>
  <si>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</si>
  <si>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</si>
  <si>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</si>
  <si>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</si>
  <si>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</si>
  <si>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</si>
  <si>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</si>
  <si>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</si>
  <si>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</si>
  <si>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</si>
  <si>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</si>
  <si>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</si>
  <si>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</si>
  <si>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</si>
  <si>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</si>
  <si>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</si>
  <si>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</si>
  <si>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</si>
  <si>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</si>
  <si>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</si>
  <si>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</si>
  <si>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</si>
  <si>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</si>
  <si>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</si>
  <si>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</si>
  <si>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</si>
  <si>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</si>
  <si>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</si>
  <si>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</si>
  <si>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</si>
  <si>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</si>
  <si>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</si>
  <si>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</si>
  <si>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</si>
  <si>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</si>
  <si>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</si>
  <si>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</si>
  <si>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</si>
  <si>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</si>
  <si>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</si>
  <si>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</si>
  <si>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</si>
  <si>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</si>
  <si>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</si>
  <si>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</si>
  <si>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</si>
  <si>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</si>
  <si>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</si>
  <si>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</si>
  <si>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</si>
  <si>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</si>
  <si>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</si>
  <si>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</si>
  <si>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</si>
  <si>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</si>
  <si>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</si>
  <si>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</si>
  <si>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</si>
  <si>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</si>
  <si>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</si>
  <si>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</si>
  <si>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</si>
  <si>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</si>
  <si>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</si>
  <si>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</si>
  <si>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</si>
  <si>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</si>
  <si>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</si>
  <si>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</si>
  <si>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</si>
  <si>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</si>
  <si>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</si>
  <si>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</si>
  <si>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</si>
  <si>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</si>
  <si>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</si>
  <si>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</si>
  <si>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</si>
  <si>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</si>
  <si>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</si>
  <si>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</si>
  <si>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</si>
  <si>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</si>
  <si>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</si>
  <si>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</si>
  <si>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</si>
  <si>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</si>
  <si>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</si>
  <si>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</si>
  <si>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</si>
  <si>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</si>
  <si>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</si>
  <si>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</si>
  <si>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</si>
  <si>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</si>
  <si>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</si>
  <si>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</si>
  <si>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</si>
  <si>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</si>
  <si>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</si>
  <si>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</si>
  <si>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</si>
  <si>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</si>
  <si>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</si>
  <si>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</si>
  <si>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</si>
  <si>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</si>
  <si>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</si>
  <si>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</si>
  <si>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</si>
  <si>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</si>
  <si>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</si>
  <si>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</si>
  <si>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</si>
  <si>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</si>
  <si>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</si>
  <si>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</si>
  <si>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</si>
  <si>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</si>
  <si>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</si>
  <si>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</si>
  <si>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</si>
  <si>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</si>
  <si>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</si>
  <si>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</si>
  <si>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</si>
  <si>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</si>
  <si>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</si>
  <si>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</si>
  <si>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</si>
  <si>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</si>
  <si>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</si>
  <si>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</si>
  <si>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</si>
  <si>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</si>
  <si>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</si>
  <si>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</si>
  <si>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</si>
  <si>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</si>
  <si>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</si>
  <si>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</si>
  <si>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</si>
  <si>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</si>
  <si>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</si>
  <si>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</si>
  <si>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</si>
  <si>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</si>
  <si>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</si>
  <si>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</si>
  <si>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</si>
  <si>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</si>
  <si>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</si>
  <si>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</si>
  <si>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</si>
  <si>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</si>
  <si>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</si>
  <si>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</si>
  <si>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</si>
  <si>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</si>
  <si>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</si>
  <si>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</si>
  <si>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</si>
  <si>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</si>
  <si>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</si>
  <si>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</si>
  <si>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</si>
  <si>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</si>
  <si>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</si>
  <si>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</si>
  <si>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</si>
  <si>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</si>
  <si>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</si>
  <si>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</si>
  <si>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</si>
  <si>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</si>
  <si>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</si>
  <si>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</si>
  <si>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</si>
  <si>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</si>
  <si>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</si>
  <si>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</si>
  <si>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</si>
  <si>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</si>
  <si>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</si>
  <si>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</si>
  <si>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</si>
  <si>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</si>
  <si>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</si>
  <si>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</si>
  <si>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</si>
  <si>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</si>
  <si>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</si>
  <si>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</si>
  <si>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</si>
  <si>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</si>
  <si>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</si>
  <si>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</si>
  <si>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</si>
  <si>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</si>
  <si>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</si>
  <si>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</si>
  <si>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</si>
  <si>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</si>
  <si>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</si>
  <si>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</si>
  <si>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</si>
  <si>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</si>
  <si>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</si>
  <si>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</si>
  <si>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</si>
  <si>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</si>
  <si>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</si>
  <si>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</si>
  <si>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</si>
  <si>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</si>
  <si>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</si>
  <si>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</si>
  <si>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</si>
  <si>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</si>
  <si>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</si>
  <si>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</si>
  <si>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</si>
  <si>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</si>
  <si>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</si>
  <si>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</si>
  <si>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</si>
  <si>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</si>
  <si>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</si>
  <si>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</si>
  <si>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</si>
  <si>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</si>
  <si>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</si>
  <si>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</si>
  <si>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</si>
  <si>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</si>
  <si>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</si>
  <si>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</si>
  <si>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</si>
  <si>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</si>
  <si>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</si>
  <si>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</si>
  <si>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</si>
  <si>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</si>
  <si>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</si>
  <si>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</si>
  <si>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</si>
  <si>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</si>
  <si>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</si>
  <si>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</si>
  <si>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</si>
  <si>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</si>
  <si>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</si>
  <si>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</si>
  <si>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</si>
  <si>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</si>
  <si>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</si>
  <si>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</si>
  <si>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</si>
  <si>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</si>
  <si>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</si>
  <si>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</si>
  <si>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</si>
  <si>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</si>
  <si>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</si>
  <si>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</si>
  <si>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</si>
  <si>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</si>
  <si>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</si>
  <si>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</si>
  <si>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</si>
  <si>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</si>
  <si>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</si>
  <si>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</si>
  <si>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</si>
  <si>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</si>
  <si>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</si>
  <si>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</si>
  <si>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</si>
  <si>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</si>
  <si>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</si>
  <si>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</si>
  <si>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</si>
  <si>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</si>
  <si>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</si>
  <si>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</si>
  <si>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</si>
  <si>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</si>
  <si>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</si>
  <si>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</si>
  <si>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</si>
  <si>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</si>
  <si>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</si>
  <si>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</si>
  <si>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</si>
  <si>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</si>
  <si>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</si>
  <si>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</si>
  <si>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</si>
  <si>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</si>
  <si>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</si>
  <si>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</si>
  <si>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</si>
  <si>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</si>
  <si>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</si>
  <si>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</si>
  <si>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</si>
  <si>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</si>
  <si>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</si>
  <si>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</si>
  <si>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</si>
  <si>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</si>
  <si>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</si>
  <si>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</si>
  <si>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</si>
  <si>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</si>
  <si>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</si>
  <si>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</si>
  <si>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</si>
  <si>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</si>
  <si>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</si>
  <si>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</si>
  <si>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</si>
  <si>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</si>
  <si>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</si>
  <si>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</si>
  <si>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</si>
  <si>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</si>
  <si>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</si>
  <si>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</si>
  <si>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</si>
  <si>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</si>
  <si>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</si>
  <si>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</si>
  <si>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</si>
  <si>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</si>
  <si>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</si>
  <si>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</si>
  <si>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</si>
  <si>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</si>
  <si>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</si>
  <si>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</si>
  <si>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</si>
  <si>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</si>
  <si>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</si>
  <si>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</si>
  <si>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</si>
  <si>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</si>
  <si>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</si>
  <si>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</si>
  <si>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</si>
  <si>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</si>
  <si>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</si>
  <si>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</si>
  <si>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</si>
  <si>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</si>
  <si>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</si>
  <si>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</si>
  <si>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</si>
  <si>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</si>
  <si>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</si>
  <si>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</si>
  <si>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</si>
  <si>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</si>
  <si>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</si>
  <si>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</si>
  <si>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</si>
  <si>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</si>
  <si>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</si>
  <si>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</si>
  <si>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</si>
  <si>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</si>
  <si>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</si>
  <si>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</si>
  <si>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</si>
  <si>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</si>
  <si>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</si>
  <si>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</si>
  <si>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</si>
  <si>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</si>
  <si>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</si>
  <si>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</si>
  <si>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</si>
  <si>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</si>
  <si>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</si>
  <si>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</si>
  <si>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</si>
  <si>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</si>
  <si>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</si>
  <si>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</si>
  <si>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</si>
  <si>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</si>
  <si>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</si>
  <si>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</si>
  <si>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</si>
  <si>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</si>
  <si>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</si>
  <si>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</si>
  <si>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</si>
  <si>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</si>
  <si>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</si>
  <si>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</si>
  <si>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</si>
  <si>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</si>
  <si>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</si>
  <si>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</si>
  <si>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</si>
  <si>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</si>
  <si>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</si>
  <si>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</si>
  <si>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</si>
  <si>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</si>
  <si>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</si>
  <si>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</si>
  <si>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</si>
  <si>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</si>
  <si>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</si>
  <si>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</si>
  <si>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</si>
  <si>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</si>
  <si>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</si>
  <si>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</si>
  <si>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</si>
  <si>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</si>
  <si>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</si>
  <si>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</si>
  <si>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</si>
  <si>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</si>
  <si>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</si>
  <si>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</si>
  <si>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</si>
  <si>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</si>
  <si>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</si>
  <si>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</si>
  <si>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</si>
  <si>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</si>
  <si>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</si>
  <si>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</si>
  <si>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</si>
  <si>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</si>
  <si>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</si>
  <si>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</si>
  <si>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</si>
  <si>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</si>
  <si>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</si>
  <si>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</si>
  <si>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</si>
  <si>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</si>
  <si>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</si>
  <si>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</si>
  <si>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</si>
  <si>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</si>
  <si>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</si>
  <si>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</si>
  <si>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</si>
  <si>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</si>
  <si>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</si>
  <si>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</si>
  <si>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</si>
  <si>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</si>
  <si>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</si>
  <si>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</si>
  <si>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</si>
  <si>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</si>
  <si>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</si>
  <si>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</si>
  <si>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</si>
  <si>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</si>
  <si>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</si>
  <si>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</si>
  <si>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</si>
  <si>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</si>
  <si>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</si>
  <si>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</si>
  <si>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</si>
  <si>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</si>
  <si>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</si>
  <si>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</si>
  <si>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</si>
  <si>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</si>
  <si>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</si>
  <si>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</si>
  <si>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</si>
  <si>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</si>
  <si>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</si>
  <si>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</si>
  <si>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</si>
  <si>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</si>
  <si>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</si>
  <si>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</si>
  <si>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</si>
  <si>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</si>
  <si>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</si>
  <si>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</si>
  <si>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</si>
  <si>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</si>
  <si>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</si>
  <si>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</si>
  <si>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</si>
  <si>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</si>
  <si>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</si>
  <si>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</si>
  <si>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</si>
  <si>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</si>
  <si>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</si>
  <si>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</si>
  <si>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</si>
  <si>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</si>
  <si>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</si>
  <si>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</si>
  <si>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</si>
  <si>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</si>
  <si>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</si>
  <si>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</si>
  <si>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</si>
  <si>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</si>
  <si>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</si>
  <si>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</si>
  <si>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</si>
  <si>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</si>
  <si>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</si>
  <si>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</si>
  <si>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</si>
  <si>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</si>
  <si>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</si>
  <si>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</si>
  <si>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</si>
  <si>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</si>
  <si>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</si>
  <si>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</si>
  <si>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</si>
  <si>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</si>
  <si>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</si>
  <si>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</si>
  <si>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</si>
  <si>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</si>
  <si>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</si>
  <si>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</si>
  <si>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</si>
  <si>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</si>
  <si>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</si>
  <si>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</si>
  <si>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</si>
  <si>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</si>
  <si>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</si>
  <si>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</si>
  <si>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</si>
  <si>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</si>
  <si>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</si>
  <si>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</si>
  <si>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</si>
  <si>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</si>
  <si>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</si>
  <si>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</si>
  <si>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</si>
  <si>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</si>
  <si>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</si>
  <si>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</si>
  <si>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</si>
  <si>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</si>
  <si>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</si>
  <si>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</si>
  <si>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</si>
  <si>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</si>
  <si>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</si>
  <si>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</si>
  <si>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</si>
  <si>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</si>
  <si>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</si>
  <si>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</si>
  <si>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</si>
  <si>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</si>
  <si>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</si>
  <si>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</si>
  <si>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</si>
  <si>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</si>
  <si>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</si>
  <si>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</si>
  <si>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</si>
  <si>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</si>
  <si>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</si>
  <si>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</si>
  <si>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</si>
  <si>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</si>
  <si>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</si>
  <si>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</si>
  <si>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</si>
  <si>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</si>
  <si>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</si>
  <si>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</si>
  <si>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</si>
  <si>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</si>
  <si>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</si>
  <si>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</si>
  <si>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</si>
  <si>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</si>
  <si>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</si>
  <si>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</si>
  <si>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</si>
  <si>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</si>
  <si>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</si>
  <si>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</si>
  <si>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</si>
  <si>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</si>
  <si>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</si>
  <si>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</si>
  <si>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</si>
  <si>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</si>
  <si>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</si>
  <si>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</si>
  <si>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</si>
  <si>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</si>
  <si>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</si>
  <si>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</si>
  <si>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</si>
  <si>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</si>
  <si>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</si>
  <si>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</si>
  <si>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</si>
  <si>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</si>
  <si>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</si>
  <si>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</si>
  <si>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</si>
  <si>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</si>
  <si>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</si>
  <si>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</si>
  <si>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</si>
  <si>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</si>
  <si>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</si>
  <si>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</si>
  <si>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</si>
  <si>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</si>
  <si>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</si>
  <si>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</si>
  <si>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</si>
  <si>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</si>
  <si>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</si>
  <si>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</si>
  <si>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</si>
  <si>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</si>
  <si>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</si>
  <si>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</si>
  <si>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</si>
  <si>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</si>
  <si>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</si>
  <si>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</si>
  <si>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</si>
  <si>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</si>
  <si>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</si>
  <si>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</si>
  <si>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</si>
  <si>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</si>
  <si>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</si>
  <si>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</si>
  <si>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</si>
  <si>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</si>
  <si>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</si>
  <si>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</si>
  <si>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</si>
  <si>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</si>
  <si>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</si>
  <si>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</si>
  <si>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</si>
  <si>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</si>
  <si>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</si>
  <si>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</si>
  <si>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</si>
  <si>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</si>
  <si>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</si>
  <si>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</si>
  <si>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</si>
  <si>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</si>
  <si>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</si>
  <si>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</si>
  <si>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</si>
  <si>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</si>
  <si>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</si>
  <si>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</si>
  <si>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</si>
  <si>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</si>
  <si>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</si>
  <si>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</si>
  <si>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</si>
  <si>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</si>
  <si>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</si>
  <si>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</si>
  <si>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</si>
  <si>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</si>
  <si>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</si>
  <si>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</si>
  <si>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</si>
  <si>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</si>
  <si>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</si>
  <si>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</si>
  <si>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</si>
  <si>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</si>
  <si>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</si>
  <si>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</si>
  <si>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</si>
  <si>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</si>
  <si>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</si>
  <si>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</si>
  <si>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</si>
  <si>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</si>
  <si>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</si>
  <si>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</si>
  <si>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</si>
  <si>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</si>
  <si>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</si>
  <si>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</si>
  <si>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</si>
  <si>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</si>
  <si>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</si>
  <si>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</si>
  <si>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</si>
  <si>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</si>
  <si>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</si>
  <si>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</si>
  <si>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</si>
  <si>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</si>
  <si>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</si>
  <si>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</si>
  <si>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</si>
  <si>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</si>
  <si>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</si>
  <si>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</si>
  <si>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</si>
  <si>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</si>
  <si>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</si>
  <si>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</si>
  <si>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</si>
  <si>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</si>
  <si>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</si>
  <si>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</si>
  <si>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</si>
  <si>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</si>
  <si>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</si>
  <si>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</si>
  <si>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</si>
  <si>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</si>
  <si>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</si>
  <si>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</si>
  <si>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</si>
  <si>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</si>
  <si>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</si>
  <si>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</si>
  <si>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</si>
  <si>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</si>
  <si>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</si>
  <si>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</si>
  <si>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</si>
  <si>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</si>
  <si>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</si>
  <si>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</si>
  <si>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</si>
  <si>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</si>
  <si>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</si>
  <si>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</si>
  <si>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</si>
  <si>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</si>
  <si>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</si>
  <si>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</si>
  <si>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</si>
  <si>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</si>
  <si>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</si>
  <si>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</si>
  <si>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</si>
  <si>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</si>
  <si>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</si>
  <si>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</si>
  <si>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</si>
  <si>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</si>
  <si>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</si>
  <si>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</si>
  <si>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</si>
  <si>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</si>
  <si>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</si>
  <si>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</si>
  <si>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</si>
  <si>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</si>
  <si>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</si>
  <si>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</si>
  <si>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</si>
  <si>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</si>
  <si>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</si>
  <si>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</si>
  <si>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</si>
  <si>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</si>
  <si>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</si>
  <si>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</si>
  <si>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</si>
  <si>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</si>
  <si>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</si>
  <si>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</si>
  <si>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</si>
  <si>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Беланова ул., д.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</si>
</sst>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11"/>
                <c:pt idx="6">
                  <c:v>Установка узлов управления</c:v>
                </c:pt>
                <c:pt idx="9">
                  <c:v>Ремонт трубопровода СО</c:v>
                </c:pt>
                <c:pt idx="10">
                  <c:v>Ремонт трубопровода ГВС</c:v>
                </c:pt>
              </c:strCache>
            </c:strRef>
          </c:cat>
          <c:val>
            <c:numRef>
              <c:f>'Экономический расчет'!$E$42:$E$64</c:f>
              <c:numCache>
                <c:formatCode>0%</c:formatCode>
                <c:ptCount val="23"/>
                <c:pt idx="0">
                  <c:v>0</c:v>
                </c:pt>
                <c:pt idx="1">
                  <c:v>0</c:v>
                </c:pt>
                <c:pt idx="2">
                  <c:v>0</c:v>
                </c:pt>
                <c:pt idx="3">
                  <c:v>0</c:v>
                </c:pt>
                <c:pt idx="4">
                  <c:v>0</c:v>
                </c:pt>
                <c:pt idx="5">
                  <c:v>0</c:v>
                </c:pt>
                <c:pt idx="6">
                  <c:v>0.794820553643524</c:v>
                </c:pt>
                <c:pt idx="7">
                  <c:v>0</c:v>
                </c:pt>
                <c:pt idx="8">
                  <c:v>0</c:v>
                </c:pt>
                <c:pt idx="9">
                  <c:v>8.2226979274997253E-2</c:v>
                </c:pt>
                <c:pt idx="10">
                  <c:v>0.12295246708147882</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819807048"/>
        <c:axId val="819807440"/>
      </c:barChart>
      <c:catAx>
        <c:axId val="819807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819807440"/>
        <c:crosses val="autoZero"/>
        <c:auto val="1"/>
        <c:lblAlgn val="ctr"/>
        <c:lblOffset val="100"/>
        <c:noMultiLvlLbl val="0"/>
      </c:catAx>
      <c:valAx>
        <c:axId val="81980744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81980704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2734.4</c:v>
                </c:pt>
                <c:pt idx="1">
                  <c:v>0.8424944540300715</c:v>
                </c:pt>
                <c:pt idx="2" formatCode="0">
                  <c:v>0</c:v>
                </c:pt>
                <c:pt idx="3">
                  <c:v>0</c:v>
                </c:pt>
                <c:pt idx="4" formatCode="0">
                  <c:v>511.2</c:v>
                </c:pt>
                <c:pt idx="5">
                  <c:v>0.15750554596992852</c:v>
                </c:pt>
                <c:pt idx="6" formatCode="0.00">
                  <c:v>0</c:v>
                </c:pt>
                <c:pt idx="7" formatCode="0.00">
                  <c:v>511.2</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62343.350102138997</c:v>
                </c:pt>
                <c:pt idx="1">
                  <c:v>52652.563401079497</c:v>
                </c:pt>
                <c:pt idx="2">
                  <c:v>44266.422417898742</c:v>
                </c:pt>
                <c:pt idx="3">
                  <c:v>44266.422417898742</c:v>
                </c:pt>
                <c:pt idx="4">
                  <c:v>19071.428772701314</c:v>
                </c:pt>
                <c:pt idx="5">
                  <c:v>19071.428772701314</c:v>
                </c:pt>
                <c:pt idx="6">
                  <c:v>3286.7145785526591</c:v>
                </c:pt>
                <c:pt idx="7">
                  <c:v>3286.7145785526595</c:v>
                </c:pt>
                <c:pt idx="8">
                  <c:v>0</c:v>
                </c:pt>
                <c:pt idx="9">
                  <c:v>0</c:v>
                </c:pt>
                <c:pt idx="10">
                  <c:v>0</c:v>
                </c:pt>
                <c:pt idx="11">
                  <c:v>0</c:v>
                </c:pt>
                <c:pt idx="12">
                  <c:v>0</c:v>
                </c:pt>
                <c:pt idx="13">
                  <c:v>0</c:v>
                </c:pt>
                <c:pt idx="14">
                  <c:v>0</c:v>
                </c:pt>
                <c:pt idx="15">
                  <c:v>0</c:v>
                </c:pt>
                <c:pt idx="16">
                  <c:v>0</c:v>
                </c:pt>
                <c:pt idx="17">
                  <c:v>0</c:v>
                </c:pt>
                <c:pt idx="18">
                  <c:v>55469.793413272266</c:v>
                </c:pt>
                <c:pt idx="19">
                  <c:v>26416.292772208013</c:v>
                </c:pt>
                <c:pt idx="20">
                  <c:v>60650.983819524088</c:v>
                </c:pt>
                <c:pt idx="21">
                  <c:v>38509.084574596571</c:v>
                </c:pt>
                <c:pt idx="22">
                  <c:v>62105.104310864415</c:v>
                </c:pt>
                <c:pt idx="23">
                  <c:v>42461.744678289921</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20843.325549461249</c:v>
                </c:pt>
                <c:pt idx="1">
                  <c:v>17603.393436258328</c:v>
                </c:pt>
                <c:pt idx="2">
                  <c:v>14799.645060052311</c:v>
                </c:pt>
                <c:pt idx="3">
                  <c:v>14799.645060052311</c:v>
                </c:pt>
                <c:pt idx="4">
                  <c:v>6376.1732077522283</c:v>
                </c:pt>
                <c:pt idx="5">
                  <c:v>6376.1732077522283</c:v>
                </c:pt>
                <c:pt idx="6">
                  <c:v>1098.8511499092986</c:v>
                </c:pt>
                <c:pt idx="7">
                  <c:v>1098.8511499092986</c:v>
                </c:pt>
                <c:pt idx="8">
                  <c:v>0</c:v>
                </c:pt>
                <c:pt idx="9">
                  <c:v>0</c:v>
                </c:pt>
                <c:pt idx="10">
                  <c:v>0</c:v>
                </c:pt>
                <c:pt idx="11">
                  <c:v>0</c:v>
                </c:pt>
                <c:pt idx="12">
                  <c:v>0</c:v>
                </c:pt>
                <c:pt idx="13">
                  <c:v>0</c:v>
                </c:pt>
                <c:pt idx="14">
                  <c:v>0</c:v>
                </c:pt>
                <c:pt idx="15">
                  <c:v>0</c:v>
                </c:pt>
                <c:pt idx="16">
                  <c:v>0</c:v>
                </c:pt>
                <c:pt idx="17">
                  <c:v>0</c:v>
                </c:pt>
                <c:pt idx="18">
                  <c:v>18545.281259027612</c:v>
                </c:pt>
                <c:pt idx="19">
                  <c:v>8831.7902255644221</c:v>
                </c:pt>
                <c:pt idx="20">
                  <c:v>20277.514740133829</c:v>
                </c:pt>
                <c:pt idx="21">
                  <c:v>12874.787528822802</c:v>
                </c:pt>
                <c:pt idx="22">
                  <c:v>20763.672553910172</c:v>
                </c:pt>
                <c:pt idx="23">
                  <c:v>14196.285029240591</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6596.842784202252</c:v>
                </c:pt>
                <c:pt idx="1">
                  <c:v>3085.6092536268943</c:v>
                </c:pt>
                <c:pt idx="2" formatCode="0">
                  <c:v>4669.4780437353775</c:v>
                </c:pt>
                <c:pt idx="3">
                  <c:v>2567.455616777555</c:v>
                </c:pt>
                <c:pt idx="4" formatCode="0">
                  <c:v>1960.01769474466</c:v>
                </c:pt>
                <c:pt idx="5">
                  <c:v>845.19151078267794</c:v>
                </c:pt>
                <c:pt idx="6" formatCode="0">
                  <c:v>331.20259446500313</c:v>
                </c:pt>
                <c:pt idx="7">
                  <c:v>12.574130823097914</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4631.0047619933848</c:v>
                </c:pt>
                <c:pt idx="19">
                  <c:v>1417.8972238886231</c:v>
                </c:pt>
                <c:pt idx="20" formatCode="0">
                  <c:v>6125.688679580694</c:v>
                </c:pt>
                <c:pt idx="21">
                  <c:v>2155.7852939709705</c:v>
                </c:pt>
                <c:pt idx="22" formatCode="0">
                  <c:v>6493.4072564784983</c:v>
                </c:pt>
                <c:pt idx="23">
                  <c:v>2405.7128971365278</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9888.4224937975014</c:v>
                </c:pt>
                <c:pt idx="1">
                  <c:v>8543.771764799998</c:v>
                </c:pt>
                <c:pt idx="2" formatCode="0">
                  <c:v>7182.9781031135708</c:v>
                </c:pt>
                <c:pt idx="3">
                  <c:v>7182.9781031135708</c:v>
                </c:pt>
                <c:pt idx="4" formatCode="0">
                  <c:v>3669.627594401788</c:v>
                </c:pt>
                <c:pt idx="5">
                  <c:v>3669.627594401788</c:v>
                </c:pt>
                <c:pt idx="6" formatCode="0">
                  <c:v>705.53690107303692</c:v>
                </c:pt>
                <c:pt idx="7">
                  <c:v>705.53690107303692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22559.466205706751</c:v>
                </c:pt>
                <c:pt idx="19">
                  <c:v>6890.1385199999995</c:v>
                </c:pt>
                <c:pt idx="20" formatCode="0">
                  <c:v>12865.291008761382</c:v>
                </c:pt>
                <c:pt idx="21">
                  <c:v>8268.1662240000005</c:v>
                </c:pt>
                <c:pt idx="22" formatCode="0">
                  <c:v>10719.807348346909</c:v>
                </c:pt>
                <c:pt idx="23">
                  <c:v>8543.771764799998</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670973688"/>
        <c:axId val="670974080"/>
      </c:barChart>
      <c:catAx>
        <c:axId val="6709736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4080"/>
        <c:crosses val="autoZero"/>
        <c:auto val="1"/>
        <c:lblAlgn val="ctr"/>
        <c:lblOffset val="100"/>
        <c:noMultiLvlLbl val="0"/>
      </c:catAx>
      <c:valAx>
        <c:axId val="67097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3688"/>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82584.397400000002</c:v>
                </c:pt>
                <c:pt idx="1">
                  <c:v>64797.794326164731</c:v>
                </c:pt>
                <c:pt idx="2">
                  <c:v>55484.613339999996</c:v>
                </c:pt>
                <c:pt idx="3">
                  <c:v>53382.590913042164</c:v>
                </c:pt>
                <c:pt idx="4">
                  <c:v>13989.703740000001</c:v>
                </c:pt>
                <c:pt idx="5">
                  <c:v>12874.877556038013</c:v>
                </c:pt>
                <c:pt idx="6">
                  <c:v>-2845.8610000000031</c:v>
                </c:pt>
                <c:pt idx="7">
                  <c:v>-3164.4894636419067</c:v>
                </c:pt>
                <c:pt idx="8">
                  <c:v>2400.1296199999992</c:v>
                </c:pt>
                <c:pt idx="9">
                  <c:v>0</c:v>
                </c:pt>
                <c:pt idx="10">
                  <c:v>2186.9284599999969</c:v>
                </c:pt>
                <c:pt idx="11">
                  <c:v>0</c:v>
                </c:pt>
                <c:pt idx="12">
                  <c:v>-5068.8191999999999</c:v>
                </c:pt>
                <c:pt idx="13">
                  <c:v>0</c:v>
                </c:pt>
                <c:pt idx="14">
                  <c:v>6776.382319999997</c:v>
                </c:pt>
                <c:pt idx="15">
                  <c:v>0</c:v>
                </c:pt>
                <c:pt idx="16">
                  <c:v>37618.235180000003</c:v>
                </c:pt>
                <c:pt idx="17">
                  <c:v>0</c:v>
                </c:pt>
                <c:pt idx="18">
                  <c:v>87425.26860000001</c:v>
                </c:pt>
                <c:pt idx="19">
                  <c:v>29775.841701661055</c:v>
                </c:pt>
                <c:pt idx="20">
                  <c:v>83383.145799999998</c:v>
                </c:pt>
                <c:pt idx="21">
                  <c:v>45271.491173390343</c:v>
                </c:pt>
                <c:pt idx="22">
                  <c:v>82994.447939999998</c:v>
                </c:pt>
                <c:pt idx="23">
                  <c:v>50519.970839867048</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18724.532599999999</c:v>
                </c:pt>
                <c:pt idx="1">
                  <c:v>8448.8250000000007</c:v>
                </c:pt>
                <c:pt idx="2">
                  <c:v>19382.34866</c:v>
                </c:pt>
                <c:pt idx="3">
                  <c:v>9053.7241666666669</c:v>
                </c:pt>
                <c:pt idx="4">
                  <c:v>19474.458259999999</c:v>
                </c:pt>
                <c:pt idx="5">
                  <c:v>9138.4241666666676</c:v>
                </c:pt>
                <c:pt idx="6">
                  <c:v>23890.346000000001</c:v>
                </c:pt>
                <c:pt idx="7">
                  <c:v>13199.083333333334</c:v>
                </c:pt>
                <c:pt idx="8">
                  <c:v>21418.110380000002</c:v>
                </c:pt>
                <c:pt idx="9">
                  <c:v>10925.722500000002</c:v>
                </c:pt>
                <c:pt idx="10">
                  <c:v>21046.322540000005</c:v>
                </c:pt>
                <c:pt idx="11">
                  <c:v>10583.842500000001</c:v>
                </c:pt>
                <c:pt idx="12">
                  <c:v>17895.546200000001</c:v>
                </c:pt>
                <c:pt idx="13">
                  <c:v>7686.5250000000005</c:v>
                </c:pt>
                <c:pt idx="14">
                  <c:v>16214.964680000001</c:v>
                </c:pt>
                <c:pt idx="15">
                  <c:v>6141.1350000000011</c:v>
                </c:pt>
                <c:pt idx="16">
                  <c:v>16753.177820000001</c:v>
                </c:pt>
                <c:pt idx="17">
                  <c:v>6636.0524999999998</c:v>
                </c:pt>
                <c:pt idx="18">
                  <c:v>18194.902399999999</c:v>
                </c:pt>
                <c:pt idx="19">
                  <c:v>7961.8000000000011</c:v>
                </c:pt>
                <c:pt idx="20">
                  <c:v>20466.939200000001</c:v>
                </c:pt>
                <c:pt idx="21">
                  <c:v>10051.066666666668</c:v>
                </c:pt>
                <c:pt idx="22">
                  <c:v>18752.933059999999</c:v>
                </c:pt>
                <c:pt idx="23">
                  <c:v>8474.940833333334</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272.50666666666666</c:v>
                </c:pt>
                <c:pt idx="1">
                  <c:v>404.03865786957692</c:v>
                </c:pt>
                <c:pt idx="2">
                  <c:v>268.18666666666667</c:v>
                </c:pt>
                <c:pt idx="3">
                  <c:v>386.98975549510175</c:v>
                </c:pt>
                <c:pt idx="4">
                  <c:v>272.50666666666666</c:v>
                </c:pt>
                <c:pt idx="5">
                  <c:v>404.03865786957692</c:v>
                </c:pt>
                <c:pt idx="6">
                  <c:v>271.06666666666666</c:v>
                </c:pt>
                <c:pt idx="7">
                  <c:v>339.62809607476038</c:v>
                </c:pt>
                <c:pt idx="8">
                  <c:v>272.50666666666666</c:v>
                </c:pt>
                <c:pt idx="9">
                  <c:v>289.51849993721044</c:v>
                </c:pt>
                <c:pt idx="10">
                  <c:v>271.06666666666666</c:v>
                </c:pt>
                <c:pt idx="11">
                  <c:v>287.52973112203165</c:v>
                </c:pt>
                <c:pt idx="12">
                  <c:v>258.10666666666663</c:v>
                </c:pt>
                <c:pt idx="13">
                  <c:v>269.63081178542211</c:v>
                </c:pt>
                <c:pt idx="14">
                  <c:v>272.50666666666666</c:v>
                </c:pt>
                <c:pt idx="15">
                  <c:v>289.51849993721044</c:v>
                </c:pt>
                <c:pt idx="16">
                  <c:v>271.06666666666666</c:v>
                </c:pt>
                <c:pt idx="17">
                  <c:v>287.52973112203165</c:v>
                </c:pt>
                <c:pt idx="18">
                  <c:v>272.50666666666666</c:v>
                </c:pt>
                <c:pt idx="19">
                  <c:v>376.34910819175832</c:v>
                </c:pt>
                <c:pt idx="20">
                  <c:v>271.06666666666666</c:v>
                </c:pt>
                <c:pt idx="21">
                  <c:v>398.35569041141855</c:v>
                </c:pt>
                <c:pt idx="22">
                  <c:v>272.50666666666666</c:v>
                </c:pt>
                <c:pt idx="23">
                  <c:v>404.03865786957692</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670975648"/>
        <c:axId val="670976040"/>
      </c:barChart>
      <c:catAx>
        <c:axId val="6709756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6040"/>
        <c:crosses val="autoZero"/>
        <c:auto val="1"/>
        <c:lblAlgn val="ctr"/>
        <c:lblOffset val="100"/>
        <c:noMultiLvlLbl val="0"/>
      </c:catAx>
      <c:valAx>
        <c:axId val="67097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5648"/>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18724.532599999999</c:v>
                </c:pt>
                <c:pt idx="1">
                  <c:v>8448.8250000000007</c:v>
                </c:pt>
                <c:pt idx="2">
                  <c:v>19382.34866</c:v>
                </c:pt>
                <c:pt idx="3">
                  <c:v>9053.7241666666669</c:v>
                </c:pt>
                <c:pt idx="4">
                  <c:v>19474.458259999999</c:v>
                </c:pt>
                <c:pt idx="5">
                  <c:v>9138.4241666666676</c:v>
                </c:pt>
                <c:pt idx="6">
                  <c:v>23890.346000000001</c:v>
                </c:pt>
                <c:pt idx="7">
                  <c:v>13199.083333333334</c:v>
                </c:pt>
                <c:pt idx="8">
                  <c:v>21418.110380000002</c:v>
                </c:pt>
                <c:pt idx="9">
                  <c:v>10925.722500000002</c:v>
                </c:pt>
                <c:pt idx="10">
                  <c:v>21046.322540000005</c:v>
                </c:pt>
                <c:pt idx="11">
                  <c:v>10583.842500000001</c:v>
                </c:pt>
                <c:pt idx="12">
                  <c:v>17895.546200000001</c:v>
                </c:pt>
                <c:pt idx="13">
                  <c:v>7686.5250000000005</c:v>
                </c:pt>
                <c:pt idx="14">
                  <c:v>16214.964680000001</c:v>
                </c:pt>
                <c:pt idx="15">
                  <c:v>6141.1350000000011</c:v>
                </c:pt>
                <c:pt idx="16">
                  <c:v>16753.177820000001</c:v>
                </c:pt>
                <c:pt idx="17">
                  <c:v>6636.0524999999998</c:v>
                </c:pt>
                <c:pt idx="18">
                  <c:v>18194.902399999999</c:v>
                </c:pt>
                <c:pt idx="19">
                  <c:v>7961.8000000000011</c:v>
                </c:pt>
                <c:pt idx="20">
                  <c:v>20466.939200000001</c:v>
                </c:pt>
                <c:pt idx="21">
                  <c:v>10051.066666666668</c:v>
                </c:pt>
                <c:pt idx="22">
                  <c:v>18752.933059999999</c:v>
                </c:pt>
                <c:pt idx="23">
                  <c:v>8474.940833333334</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670974472"/>
        <c:axId val="670976432"/>
      </c:barChart>
      <c:catAx>
        <c:axId val="670974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6432"/>
        <c:crosses val="autoZero"/>
        <c:auto val="1"/>
        <c:lblAlgn val="ctr"/>
        <c:lblOffset val="100"/>
        <c:noMultiLvlLbl val="0"/>
      </c:catAx>
      <c:valAx>
        <c:axId val="67097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4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119.7</c:v>
                </c:pt>
                <c:pt idx="1">
                  <c:v>128.27000000000001</c:v>
                </c:pt>
                <c:pt idx="2" formatCode="General">
                  <c:v>128.27000000000001</c:v>
                </c:pt>
                <c:pt idx="3">
                  <c:v>129.47</c:v>
                </c:pt>
                <c:pt idx="4" formatCode="General">
                  <c:v>129.47</c:v>
                </c:pt>
                <c:pt idx="5">
                  <c:v>187</c:v>
                </c:pt>
                <c:pt idx="6" formatCode="General">
                  <c:v>187</c:v>
                </c:pt>
                <c:pt idx="7">
                  <c:v>189.19</c:v>
                </c:pt>
                <c:pt idx="8" formatCode="General">
                  <c:v>189.19</c:v>
                </c:pt>
                <c:pt idx="9">
                  <c:v>183.27</c:v>
                </c:pt>
                <c:pt idx="10" formatCode="General">
                  <c:v>183.27</c:v>
                </c:pt>
                <c:pt idx="11">
                  <c:v>133.1</c:v>
                </c:pt>
                <c:pt idx="12" formatCode="General">
                  <c:v>133.1</c:v>
                </c:pt>
                <c:pt idx="13">
                  <c:v>106.34</c:v>
                </c:pt>
                <c:pt idx="14" formatCode="General">
                  <c:v>106.34</c:v>
                </c:pt>
                <c:pt idx="15">
                  <c:v>114.91</c:v>
                </c:pt>
                <c:pt idx="16" formatCode="General">
                  <c:v>114.91</c:v>
                </c:pt>
                <c:pt idx="17">
                  <c:v>112.8</c:v>
                </c:pt>
                <c:pt idx="18" formatCode="General">
                  <c:v>112.8</c:v>
                </c:pt>
                <c:pt idx="19">
                  <c:v>142.4</c:v>
                </c:pt>
                <c:pt idx="20" formatCode="General">
                  <c:v>142.4</c:v>
                </c:pt>
                <c:pt idx="21">
                  <c:v>120.07</c:v>
                </c:pt>
                <c:pt idx="22" formatCode="General">
                  <c:v>120.07</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670976824"/>
        <c:axId val="670977216"/>
      </c:barChart>
      <c:catAx>
        <c:axId val="670976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7216"/>
        <c:crosses val="autoZero"/>
        <c:auto val="1"/>
        <c:lblAlgn val="ctr"/>
        <c:lblOffset val="100"/>
        <c:noMultiLvlLbl val="0"/>
      </c:catAx>
      <c:valAx>
        <c:axId val="67097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307563.92715675093</c:v>
                </c:pt>
                <c:pt idx="1">
                  <c:v>4181.5496260636455</c:v>
                </c:pt>
                <c:pt idx="2">
                  <c:v>212312.30439115496</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447529.73102783097</c:v>
                </c:pt>
                <c:pt idx="1">
                  <c:v>3245.599999999999</c:v>
                </c:pt>
                <c:pt idx="2">
                  <c:v>231613.42297216901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258151.75354458211</c:v>
                </c:pt>
                <c:pt idx="1">
                  <c:v>86580.1139893902</c:v>
                </c:pt>
                <c:pt idx="2">
                  <c:v>14645.901293178629</c:v>
                </c:pt>
                <c:pt idx="3" formatCode="0.0">
                  <c:v>51813.84167039999</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227.86666666666667</c:v>
                </c:pt>
                <c:pt idx="1">
                  <c:v>227.86666666666659</c:v>
                </c:pt>
                <c:pt idx="2">
                  <c:v>227.86666666666667</c:v>
                </c:pt>
                <c:pt idx="3">
                  <c:v>227.86666666666659</c:v>
                </c:pt>
                <c:pt idx="4">
                  <c:v>227.86666666666667</c:v>
                </c:pt>
                <c:pt idx="5">
                  <c:v>227.86666666666659</c:v>
                </c:pt>
                <c:pt idx="6">
                  <c:v>227.86666666666667</c:v>
                </c:pt>
                <c:pt idx="7">
                  <c:v>227.86666666666659</c:v>
                </c:pt>
                <c:pt idx="8">
                  <c:v>227.86666666666667</c:v>
                </c:pt>
                <c:pt idx="9">
                  <c:v>227.86666666666659</c:v>
                </c:pt>
                <c:pt idx="10">
                  <c:v>227.86666666666667</c:v>
                </c:pt>
                <c:pt idx="11">
                  <c:v>227.86666666666659</c:v>
                </c:pt>
                <c:pt idx="12">
                  <c:v>227.86666666666667</c:v>
                </c:pt>
                <c:pt idx="13">
                  <c:v>227.86666666666659</c:v>
                </c:pt>
                <c:pt idx="14">
                  <c:v>227.86666666666667</c:v>
                </c:pt>
                <c:pt idx="15">
                  <c:v>227.86666666666659</c:v>
                </c:pt>
                <c:pt idx="16">
                  <c:v>227.86666666666667</c:v>
                </c:pt>
                <c:pt idx="17">
                  <c:v>227.86666666666659</c:v>
                </c:pt>
                <c:pt idx="18">
                  <c:v>227.86666666666667</c:v>
                </c:pt>
                <c:pt idx="19">
                  <c:v>227.86666666666659</c:v>
                </c:pt>
                <c:pt idx="20">
                  <c:v>227.86666666666667</c:v>
                </c:pt>
                <c:pt idx="21">
                  <c:v>227.86666666666659</c:v>
                </c:pt>
                <c:pt idx="22">
                  <c:v>227.86666666666667</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44.64</c:v>
                </c:pt>
                <c:pt idx="1">
                  <c:v>176.17199120291033</c:v>
                </c:pt>
                <c:pt idx="2">
                  <c:v>40.32</c:v>
                </c:pt>
                <c:pt idx="3">
                  <c:v>159.12308882843516</c:v>
                </c:pt>
                <c:pt idx="4">
                  <c:v>44.64</c:v>
                </c:pt>
                <c:pt idx="5">
                  <c:v>176.17199120291033</c:v>
                </c:pt>
                <c:pt idx="6">
                  <c:v>43.199999999999996</c:v>
                </c:pt>
                <c:pt idx="7">
                  <c:v>111.76142940809379</c:v>
                </c:pt>
                <c:pt idx="8">
                  <c:v>44.64</c:v>
                </c:pt>
                <c:pt idx="9">
                  <c:v>61.651833270543875</c:v>
                </c:pt>
                <c:pt idx="10">
                  <c:v>43.199999999999996</c:v>
                </c:pt>
                <c:pt idx="11">
                  <c:v>59.663064455365046</c:v>
                </c:pt>
                <c:pt idx="12">
                  <c:v>30.240000000000002</c:v>
                </c:pt>
                <c:pt idx="13">
                  <c:v>41.764145118755529</c:v>
                </c:pt>
                <c:pt idx="14">
                  <c:v>44.64</c:v>
                </c:pt>
                <c:pt idx="15">
                  <c:v>61.651833270543875</c:v>
                </c:pt>
                <c:pt idx="16">
                  <c:v>43.199999999999996</c:v>
                </c:pt>
                <c:pt idx="17">
                  <c:v>59.663064455365046</c:v>
                </c:pt>
                <c:pt idx="18">
                  <c:v>44.64</c:v>
                </c:pt>
                <c:pt idx="19">
                  <c:v>148.48244152509176</c:v>
                </c:pt>
                <c:pt idx="20">
                  <c:v>43.199999999999996</c:v>
                </c:pt>
                <c:pt idx="21">
                  <c:v>170.48902374475193</c:v>
                </c:pt>
                <c:pt idx="22">
                  <c:v>44.64</c:v>
                </c:pt>
                <c:pt idx="23">
                  <c:v>176.17199120291033</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670979960"/>
        <c:axId val="670980352"/>
      </c:barChart>
      <c:catAx>
        <c:axId val="6709799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80352"/>
        <c:crosses val="autoZero"/>
        <c:auto val="1"/>
        <c:lblAlgn val="ctr"/>
        <c:lblOffset val="100"/>
        <c:noMultiLvlLbl val="0"/>
      </c:catAx>
      <c:valAx>
        <c:axId val="67098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9960"/>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2734.3999999999992</c:v>
                </c:pt>
                <c:pt idx="1">
                  <c:v>0</c:v>
                </c:pt>
                <c:pt idx="2" formatCode="0">
                  <c:v>0</c:v>
                </c:pt>
                <c:pt idx="3">
                  <c:v>0</c:v>
                </c:pt>
                <c:pt idx="4" formatCode="0">
                  <c:v>1447.1496260636463</c:v>
                </c:pt>
                <c:pt idx="5">
                  <c:v>1.8308873749288859</c:v>
                </c:pt>
                <c:pt idx="6" formatCode="0.0">
                  <c:v>663.38584706474592</c:v>
                </c:pt>
                <c:pt idx="7" formatCode="0.0">
                  <c:v>783.76377899890053</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53865.756106173503</c:v>
                </c:pt>
                <c:pt idx="1">
                  <c:v>62343.350102138997</c:v>
                </c:pt>
                <c:pt idx="2">
                  <c:v>63533.565310183592</c:v>
                </c:pt>
                <c:pt idx="3" formatCode="0">
                  <c:v>47557.154039684712</c:v>
                </c:pt>
                <c:pt idx="4">
                  <c:v>44266.422417898742</c:v>
                </c:pt>
                <c:pt idx="5">
                  <c:v>46473.413035334066</c:v>
                </c:pt>
                <c:pt idx="6" formatCode="0">
                  <c:v>44402.853006440317</c:v>
                </c:pt>
                <c:pt idx="7">
                  <c:v>19071.428772701314</c:v>
                </c:pt>
                <c:pt idx="8">
                  <c:v>20124.824604963433</c:v>
                </c:pt>
                <c:pt idx="9" formatCode="0">
                  <c:v>19258.455812153428</c:v>
                </c:pt>
                <c:pt idx="10">
                  <c:v>3286.7145785526591</c:v>
                </c:pt>
                <c:pt idx="11">
                  <c:v>2613.7656108817769</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16941.649097909405</c:v>
                </c:pt>
                <c:pt idx="28">
                  <c:v>55469.793413272266</c:v>
                </c:pt>
                <c:pt idx="29">
                  <c:v>38283.578843512973</c:v>
                </c:pt>
                <c:pt idx="30" formatCode="0">
                  <c:v>38978.707557213609</c:v>
                </c:pt>
                <c:pt idx="31">
                  <c:v>60650.983819524088</c:v>
                </c:pt>
                <c:pt idx="32">
                  <c:v>61268.221052530898</c:v>
                </c:pt>
                <c:pt idx="33" formatCode="0">
                  <c:v>49498.262367835108</c:v>
                </c:pt>
                <c:pt idx="34">
                  <c:v>62105.104310864415</c:v>
                </c:pt>
                <c:pt idx="35">
                  <c:v>70639.648800959199</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18009.00157995092</c:v>
                </c:pt>
                <c:pt idx="1">
                  <c:v>20843.325549461249</c:v>
                </c:pt>
                <c:pt idx="2">
                  <c:v>21241.251599545976</c:v>
                </c:pt>
                <c:pt idx="3" formatCode="0">
                  <c:v>15899.83923274946</c:v>
                </c:pt>
                <c:pt idx="4">
                  <c:v>14799.645060052311</c:v>
                </c:pt>
                <c:pt idx="5">
                  <c:v>15537.510828389208</c:v>
                </c:pt>
                <c:pt idx="6" formatCode="0">
                  <c:v>14845.258059148733</c:v>
                </c:pt>
                <c:pt idx="7">
                  <c:v>6376.1732077522283</c:v>
                </c:pt>
                <c:pt idx="8">
                  <c:v>6728.3562750451056</c:v>
                </c:pt>
                <c:pt idx="9" formatCode="0">
                  <c:v>6438.7021777781529</c:v>
                </c:pt>
                <c:pt idx="10">
                  <c:v>1098.8511499092986</c:v>
                </c:pt>
                <c:pt idx="11">
                  <c:v>873.86333022431143</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5664.1214646619828</c:v>
                </c:pt>
                <c:pt idx="28">
                  <c:v>18545.281259027612</c:v>
                </c:pt>
                <c:pt idx="29">
                  <c:v>12799.393932576468</c:v>
                </c:pt>
                <c:pt idx="30" formatCode="0">
                  <c:v>13031.797132832839</c:v>
                </c:pt>
                <c:pt idx="31">
                  <c:v>20277.514740133829</c:v>
                </c:pt>
                <c:pt idx="32">
                  <c:v>20483.87639005691</c:v>
                </c:pt>
                <c:pt idx="33" formatCode="0">
                  <c:v>16548.812262657601</c:v>
                </c:pt>
                <c:pt idx="34">
                  <c:v>20763.672553910172</c:v>
                </c:pt>
                <c:pt idx="35">
                  <c:v>23617.036849091077</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5699.7887329192026</c:v>
                </c:pt>
                <c:pt idx="1">
                  <c:v>6596.842784202252</c:v>
                </c:pt>
                <c:pt idx="2">
                  <c:v>6722.7850473942872</c:v>
                </c:pt>
                <c:pt idx="3">
                  <c:v>5016.6034317030799</c:v>
                </c:pt>
                <c:pt idx="4">
                  <c:v>4669.4780437353775</c:v>
                </c:pt>
                <c:pt idx="5">
                  <c:v>4902.2841678344712</c:v>
                </c:pt>
                <c:pt idx="6">
                  <c:v>4563.390537071019</c:v>
                </c:pt>
                <c:pt idx="7">
                  <c:v>1960.01769474466</c:v>
                </c:pt>
                <c:pt idx="8">
                  <c:v>2068.2777782135704</c:v>
                </c:pt>
                <c:pt idx="9">
                  <c:v>1940.6767390138439</c:v>
                </c:pt>
                <c:pt idx="10">
                  <c:v>331.20259446500313</c:v>
                </c:pt>
                <c:pt idx="11">
                  <c:v>263.38945197628408</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1414.4068838314261</c:v>
                </c:pt>
                <c:pt idx="28">
                  <c:v>4631.0047619933848</c:v>
                </c:pt>
                <c:pt idx="29">
                  <c:v>3196.1798489056073</c:v>
                </c:pt>
                <c:pt idx="30">
                  <c:v>3936.8104619441842</c:v>
                </c:pt>
                <c:pt idx="31">
                  <c:v>6125.688679580694</c:v>
                </c:pt>
                <c:pt idx="32">
                  <c:v>6188.0290225188473</c:v>
                </c:pt>
                <c:pt idx="33" formatCode="0.00">
                  <c:v>5175.2972579123498</c:v>
                </c:pt>
                <c:pt idx="34">
                  <c:v>6493.4072564784983</c:v>
                </c:pt>
                <c:pt idx="35">
                  <c:v>7385.7376653499869</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8543.771764799998</c:v>
                </c:pt>
                <c:pt idx="1">
                  <c:v>9888.4224937975014</c:v>
                </c:pt>
                <c:pt idx="2">
                  <c:v>10077.205272015324</c:v>
                </c:pt>
                <c:pt idx="3">
                  <c:v>7716.9551424000001</c:v>
                </c:pt>
                <c:pt idx="4">
                  <c:v>7182.9781031135708</c:v>
                </c:pt>
                <c:pt idx="5">
                  <c:v>7541.0997766736436</c:v>
                </c:pt>
                <c:pt idx="6">
                  <c:v>8543.771764799998</c:v>
                </c:pt>
                <c:pt idx="7">
                  <c:v>3669.627594401788</c:v>
                </c:pt>
                <c:pt idx="8">
                  <c:v>3872.3166776355542</c:v>
                </c:pt>
                <c:pt idx="9">
                  <c:v>4134.0831120000003</c:v>
                </c:pt>
                <c:pt idx="10">
                  <c:v>705.53690107303692</c:v>
                </c:pt>
                <c:pt idx="11">
                  <c:v>561.07947470293436</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6890.1385199999995</c:v>
                </c:pt>
                <c:pt idx="28">
                  <c:v>22559.466205706751</c:v>
                </c:pt>
                <c:pt idx="29">
                  <c:v>15569.863343804947</c:v>
                </c:pt>
                <c:pt idx="30" formatCode="0">
                  <c:v>8268.1662240000005</c:v>
                </c:pt>
                <c:pt idx="31">
                  <c:v>12865.291008761382</c:v>
                </c:pt>
                <c:pt idx="32">
                  <c:v>12996.219414600679</c:v>
                </c:pt>
                <c:pt idx="33">
                  <c:v>8543.771764799998</c:v>
                </c:pt>
                <c:pt idx="34">
                  <c:v>10719.807348346909</c:v>
                </c:pt>
                <c:pt idx="35">
                  <c:v>12192.9338128283</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819809008"/>
        <c:axId val="819809400"/>
      </c:barChart>
      <c:catAx>
        <c:axId val="819809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19809400"/>
        <c:crosses val="autoZero"/>
        <c:auto val="1"/>
        <c:lblAlgn val="ctr"/>
        <c:lblOffset val="100"/>
        <c:noMultiLvlLbl val="0"/>
      </c:catAx>
      <c:valAx>
        <c:axId val="819809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19809008"/>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670979176"/>
        <c:axId val="670981136"/>
      </c:scatterChart>
      <c:valAx>
        <c:axId val="670979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81136"/>
        <c:crosses val="autoZero"/>
        <c:crossBetween val="midCat"/>
      </c:valAx>
      <c:valAx>
        <c:axId val="670981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9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670981920"/>
        <c:axId val="670982312"/>
      </c:scatterChart>
      <c:valAx>
        <c:axId val="67098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82312"/>
        <c:crosses val="autoZero"/>
        <c:crossBetween val="midCat"/>
      </c:valAx>
      <c:valAx>
        <c:axId val="670982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81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69030.774654243622</c:v>
                </c:pt>
                <c:pt idx="1">
                  <c:v>82584.397400000002</c:v>
                </c:pt>
                <c:pt idx="2">
                  <c:v>84487.26369953918</c:v>
                </c:pt>
                <c:pt idx="3">
                  <c:v>60756.64156173724</c:v>
                </c:pt>
                <c:pt idx="4">
                  <c:v>55484.613339999996</c:v>
                </c:pt>
                <c:pt idx="5">
                  <c:v>59020.397523431384</c:v>
                </c:pt>
                <c:pt idx="6">
                  <c:v>55267.729837860083</c:v>
                </c:pt>
                <c:pt idx="7">
                  <c:v>13989.703740000001</c:v>
                </c:pt>
                <c:pt idx="8">
                  <c:v>15706.231806257672</c:v>
                </c:pt>
                <c:pt idx="9">
                  <c:v>23503.751616945425</c:v>
                </c:pt>
                <c:pt idx="10">
                  <c:v>-2845.8610000000031</c:v>
                </c:pt>
                <c:pt idx="11">
                  <c:v>-3956.0683562146937</c:v>
                </c:pt>
                <c:pt idx="12">
                  <c:v>0</c:v>
                </c:pt>
                <c:pt idx="13">
                  <c:v>2400.1296199999992</c:v>
                </c:pt>
                <c:pt idx="14">
                  <c:v>0</c:v>
                </c:pt>
                <c:pt idx="15">
                  <c:v>0</c:v>
                </c:pt>
                <c:pt idx="16">
                  <c:v>2186.9284599999969</c:v>
                </c:pt>
                <c:pt idx="17">
                  <c:v>0</c:v>
                </c:pt>
                <c:pt idx="18">
                  <c:v>0</c:v>
                </c:pt>
                <c:pt idx="19">
                  <c:v>-5068.8191999999999</c:v>
                </c:pt>
                <c:pt idx="20">
                  <c:v>0</c:v>
                </c:pt>
                <c:pt idx="21">
                  <c:v>0</c:v>
                </c:pt>
                <c:pt idx="22">
                  <c:v>6776.382319999997</c:v>
                </c:pt>
                <c:pt idx="23">
                  <c:v>0</c:v>
                </c:pt>
                <c:pt idx="24">
                  <c:v>0</c:v>
                </c:pt>
                <c:pt idx="25">
                  <c:v>37618.235180000003</c:v>
                </c:pt>
                <c:pt idx="26">
                  <c:v>0</c:v>
                </c:pt>
                <c:pt idx="27">
                  <c:v>17130.038926402813</c:v>
                </c:pt>
                <c:pt idx="28">
                  <c:v>87425.26860000001</c:v>
                </c:pt>
                <c:pt idx="29">
                  <c:v>56068.738928799998</c:v>
                </c:pt>
                <c:pt idx="30">
                  <c:v>47679.148927990638</c:v>
                </c:pt>
                <c:pt idx="31">
                  <c:v>83383.145799999998</c:v>
                </c:pt>
                <c:pt idx="32">
                  <c:v>84400.013431707339</c:v>
                </c:pt>
                <c:pt idx="33">
                  <c:v>62678.600123605065</c:v>
                </c:pt>
                <c:pt idx="34">
                  <c:v>82994.447939999998</c:v>
                </c:pt>
                <c:pt idx="35">
                  <c:v>96747.813598628578</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15832.15248222537</c:v>
                </c:pt>
                <c:pt idx="1">
                  <c:v>18724.532599999999</c:v>
                </c:pt>
                <c:pt idx="2">
                  <c:v>18724.532599999999</c:v>
                </c:pt>
                <c:pt idx="3">
                  <c:v>14300.008693622915</c:v>
                </c:pt>
                <c:pt idx="4">
                  <c:v>19382.34866</c:v>
                </c:pt>
                <c:pt idx="5">
                  <c:v>19382.34866</c:v>
                </c:pt>
                <c:pt idx="6">
                  <c:v>15832.15248222537</c:v>
                </c:pt>
                <c:pt idx="7">
                  <c:v>19474.458259999999</c:v>
                </c:pt>
                <c:pt idx="8">
                  <c:v>19474.458259999999</c:v>
                </c:pt>
                <c:pt idx="9">
                  <c:v>11282.149716072629</c:v>
                </c:pt>
                <c:pt idx="10">
                  <c:v>23890.346000000001</c:v>
                </c:pt>
                <c:pt idx="11">
                  <c:v>23890.346000000001</c:v>
                </c:pt>
                <c:pt idx="12">
                  <c:v>11658.221373275048</c:v>
                </c:pt>
                <c:pt idx="13">
                  <c:v>21418.110380000002</c:v>
                </c:pt>
                <c:pt idx="14">
                  <c:v>21418.110380000002</c:v>
                </c:pt>
                <c:pt idx="15">
                  <c:v>11282.149716072629</c:v>
                </c:pt>
                <c:pt idx="16">
                  <c:v>21046.322540000005</c:v>
                </c:pt>
                <c:pt idx="17">
                  <c:v>21046.322540000005</c:v>
                </c:pt>
                <c:pt idx="18">
                  <c:v>7897.5048012508396</c:v>
                </c:pt>
                <c:pt idx="19">
                  <c:v>17895.546200000001</c:v>
                </c:pt>
                <c:pt idx="20">
                  <c:v>17895.546200000001</c:v>
                </c:pt>
                <c:pt idx="21">
                  <c:v>11658.221373275048</c:v>
                </c:pt>
                <c:pt idx="22">
                  <c:v>16214.964680000001</c:v>
                </c:pt>
                <c:pt idx="23">
                  <c:v>16214.964680000001</c:v>
                </c:pt>
                <c:pt idx="24">
                  <c:v>13789.294097422095</c:v>
                </c:pt>
                <c:pt idx="25">
                  <c:v>16753.177820000001</c:v>
                </c:pt>
                <c:pt idx="26">
                  <c:v>16753.177820000001</c:v>
                </c:pt>
                <c:pt idx="27">
                  <c:v>11658.221373275048</c:v>
                </c:pt>
                <c:pt idx="28">
                  <c:v>18194.902399999999</c:v>
                </c:pt>
                <c:pt idx="29">
                  <c:v>18194.902399999999</c:v>
                </c:pt>
                <c:pt idx="30">
                  <c:v>15321.437886024549</c:v>
                </c:pt>
                <c:pt idx="31">
                  <c:v>20466.939200000001</c:v>
                </c:pt>
                <c:pt idx="32">
                  <c:v>20466.939200000001</c:v>
                </c:pt>
                <c:pt idx="33">
                  <c:v>15832.15248222537</c:v>
                </c:pt>
                <c:pt idx="34">
                  <c:v>18752.933059999999</c:v>
                </c:pt>
                <c:pt idx="35">
                  <c:v>18752.933059999999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272.50666666666666</c:v>
                </c:pt>
                <c:pt idx="1">
                  <c:v>272.50666666666666</c:v>
                </c:pt>
                <c:pt idx="2">
                  <c:v>272.50666666666666</c:v>
                </c:pt>
                <c:pt idx="3" formatCode="0">
                  <c:v>268.18666666666667</c:v>
                </c:pt>
                <c:pt idx="4">
                  <c:v>268.18666666666667</c:v>
                </c:pt>
                <c:pt idx="5">
                  <c:v>268.18666666666667</c:v>
                </c:pt>
                <c:pt idx="6" formatCode="0">
                  <c:v>272.50666666666666</c:v>
                </c:pt>
                <c:pt idx="7">
                  <c:v>272.50666666666666</c:v>
                </c:pt>
                <c:pt idx="8">
                  <c:v>272.50666666666666</c:v>
                </c:pt>
                <c:pt idx="9" formatCode="0">
                  <c:v>271.06666666666666</c:v>
                </c:pt>
                <c:pt idx="10">
                  <c:v>271.06666666666666</c:v>
                </c:pt>
                <c:pt idx="11">
                  <c:v>271.06666666666666</c:v>
                </c:pt>
                <c:pt idx="12" formatCode="0">
                  <c:v>272.50666666666666</c:v>
                </c:pt>
                <c:pt idx="13">
                  <c:v>272.50666666666666</c:v>
                </c:pt>
                <c:pt idx="14">
                  <c:v>272.50666666666666</c:v>
                </c:pt>
                <c:pt idx="15" formatCode="0">
                  <c:v>271.06666666666666</c:v>
                </c:pt>
                <c:pt idx="16">
                  <c:v>271.06666666666666</c:v>
                </c:pt>
                <c:pt idx="17">
                  <c:v>271.06666666666666</c:v>
                </c:pt>
                <c:pt idx="18" formatCode="0">
                  <c:v>258.10666666666668</c:v>
                </c:pt>
                <c:pt idx="19">
                  <c:v>258.10666666666663</c:v>
                </c:pt>
                <c:pt idx="20">
                  <c:v>258.10666666666663</c:v>
                </c:pt>
                <c:pt idx="21" formatCode="0">
                  <c:v>272.50666666666666</c:v>
                </c:pt>
                <c:pt idx="22">
                  <c:v>272.50666666666666</c:v>
                </c:pt>
                <c:pt idx="23">
                  <c:v>272.50666666666666</c:v>
                </c:pt>
                <c:pt idx="24" formatCode="0">
                  <c:v>271.06666666666666</c:v>
                </c:pt>
                <c:pt idx="25">
                  <c:v>271.06666666666666</c:v>
                </c:pt>
                <c:pt idx="26">
                  <c:v>271.06666666666666</c:v>
                </c:pt>
                <c:pt idx="27" formatCode="0">
                  <c:v>272.50666666666666</c:v>
                </c:pt>
                <c:pt idx="28">
                  <c:v>272.50666666666666</c:v>
                </c:pt>
                <c:pt idx="29">
                  <c:v>272.50666666666666</c:v>
                </c:pt>
                <c:pt idx="30" formatCode="0">
                  <c:v>271.06666666666666</c:v>
                </c:pt>
                <c:pt idx="31">
                  <c:v>271.06666666666666</c:v>
                </c:pt>
                <c:pt idx="32">
                  <c:v>271.06666666666666</c:v>
                </c:pt>
                <c:pt idx="33" formatCode="0">
                  <c:v>272.50666666666666</c:v>
                </c:pt>
                <c:pt idx="34">
                  <c:v>272.50666666666666</c:v>
                </c:pt>
                <c:pt idx="35">
                  <c:v>272.50666666666666</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819810184"/>
        <c:axId val="819810576"/>
      </c:barChart>
      <c:catAx>
        <c:axId val="819810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19810576"/>
        <c:crosses val="autoZero"/>
        <c:auto val="1"/>
        <c:lblAlgn val="ctr"/>
        <c:lblOffset val="100"/>
        <c:noMultiLvlLbl val="0"/>
      </c:catAx>
      <c:valAx>
        <c:axId val="819810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19810184"/>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15832.15248222537</c:v>
                </c:pt>
                <c:pt idx="1">
                  <c:v>18724.532599999999</c:v>
                </c:pt>
                <c:pt idx="2">
                  <c:v>14300.008693622915</c:v>
                </c:pt>
                <c:pt idx="3">
                  <c:v>19382.34866</c:v>
                </c:pt>
                <c:pt idx="4">
                  <c:v>15832.15248222537</c:v>
                </c:pt>
                <c:pt idx="5">
                  <c:v>19474.458259999999</c:v>
                </c:pt>
                <c:pt idx="6">
                  <c:v>11282.149716072629</c:v>
                </c:pt>
                <c:pt idx="7">
                  <c:v>23890.346000000001</c:v>
                </c:pt>
                <c:pt idx="8">
                  <c:v>11658.221373275048</c:v>
                </c:pt>
                <c:pt idx="9">
                  <c:v>21418.110380000002</c:v>
                </c:pt>
                <c:pt idx="10">
                  <c:v>11282.149716072629</c:v>
                </c:pt>
                <c:pt idx="11">
                  <c:v>21046.322540000005</c:v>
                </c:pt>
                <c:pt idx="12">
                  <c:v>7897.5048012508396</c:v>
                </c:pt>
                <c:pt idx="13">
                  <c:v>17895.546200000001</c:v>
                </c:pt>
                <c:pt idx="14">
                  <c:v>11658.221373275048</c:v>
                </c:pt>
                <c:pt idx="15">
                  <c:v>16214.964680000001</c:v>
                </c:pt>
                <c:pt idx="16">
                  <c:v>13789.294097422095</c:v>
                </c:pt>
                <c:pt idx="17">
                  <c:v>16753.177820000001</c:v>
                </c:pt>
                <c:pt idx="18">
                  <c:v>11658.221373275048</c:v>
                </c:pt>
                <c:pt idx="19">
                  <c:v>18194.902399999999</c:v>
                </c:pt>
                <c:pt idx="20">
                  <c:v>15321.437886024549</c:v>
                </c:pt>
                <c:pt idx="21">
                  <c:v>20466.939200000001</c:v>
                </c:pt>
                <c:pt idx="22">
                  <c:v>15832.15248222537</c:v>
                </c:pt>
                <c:pt idx="23">
                  <c:v>18752.933059999999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819811360"/>
        <c:axId val="819811752"/>
      </c:barChart>
      <c:catAx>
        <c:axId val="819811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19811752"/>
        <c:crosses val="autoZero"/>
        <c:auto val="1"/>
        <c:lblAlgn val="ctr"/>
        <c:lblOffset val="100"/>
        <c:noMultiLvlLbl val="0"/>
      </c:catAx>
      <c:valAx>
        <c:axId val="81981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1981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205.61236989903077</c:v>
                </c:pt>
                <c:pt idx="1">
                  <c:v>119.7</c:v>
                </c:pt>
                <c:pt idx="2">
                  <c:v>185.71439861847938</c:v>
                </c:pt>
                <c:pt idx="3">
                  <c:v>128.27000000000001</c:v>
                </c:pt>
                <c:pt idx="4">
                  <c:v>205.61236989903077</c:v>
                </c:pt>
                <c:pt idx="5">
                  <c:v>129.47</c:v>
                </c:pt>
                <c:pt idx="6">
                  <c:v>179.08174152496227</c:v>
                </c:pt>
                <c:pt idx="7">
                  <c:v>187</c:v>
                </c:pt>
                <c:pt idx="8">
                  <c:v>185.05113290912772</c:v>
                </c:pt>
                <c:pt idx="9">
                  <c:v>189.19</c:v>
                </c:pt>
                <c:pt idx="10">
                  <c:v>179.08174152496227</c:v>
                </c:pt>
                <c:pt idx="11">
                  <c:v>183.27</c:v>
                </c:pt>
                <c:pt idx="12">
                  <c:v>125.35721906747359</c:v>
                </c:pt>
                <c:pt idx="13">
                  <c:v>133.1</c:v>
                </c:pt>
                <c:pt idx="14">
                  <c:v>185.05113290912772</c:v>
                </c:pt>
                <c:pt idx="15">
                  <c:v>106.34</c:v>
                </c:pt>
                <c:pt idx="16">
                  <c:v>179.08174152496227</c:v>
                </c:pt>
                <c:pt idx="17">
                  <c:v>114.91</c:v>
                </c:pt>
                <c:pt idx="18">
                  <c:v>185.05113290912772</c:v>
                </c:pt>
                <c:pt idx="19">
                  <c:v>112.8</c:v>
                </c:pt>
                <c:pt idx="20">
                  <c:v>198.97971280551366</c:v>
                </c:pt>
                <c:pt idx="21">
                  <c:v>142.4</c:v>
                </c:pt>
                <c:pt idx="22">
                  <c:v>205.61236989903077</c:v>
                </c:pt>
                <c:pt idx="23">
                  <c:v>120.07</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19812928"/>
        <c:axId val="819813320"/>
      </c:barChart>
      <c:catAx>
        <c:axId val="819812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19813320"/>
        <c:crosses val="autoZero"/>
        <c:auto val="1"/>
        <c:lblAlgn val="ctr"/>
        <c:lblOffset val="100"/>
        <c:noMultiLvlLbl val="0"/>
      </c:catAx>
      <c:valAx>
        <c:axId val="819813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1981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345872.83482100128</c:v>
                </c:pt>
                <c:pt idx="1">
                  <c:v>276984.47729184292</c:v>
                </c:pt>
                <c:pt idx="2">
                  <c:v>3245.6</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447529.73102783097</c:v>
                </c:pt>
                <c:pt idx="1">
                  <c:v>231613.42297216901</c:v>
                </c:pt>
                <c:pt idx="2">
                  <c:v>3245.599999999999</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276639.24496027263</c:v>
                </c:pt>
                <c:pt idx="1">
                  <c:v>92489.124068844132</c:v>
                </c:pt>
                <c:pt idx="2">
                  <c:v>28558.307462284534</c:v>
                </c:pt>
                <c:pt idx="3" formatCode="0.0">
                  <c:v>51813.84167039999</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227.86666666666667</c:v>
                </c:pt>
                <c:pt idx="1">
                  <c:v>227.86666666666667</c:v>
                </c:pt>
                <c:pt idx="2" formatCode="0">
                  <c:v>227.86666666666667</c:v>
                </c:pt>
                <c:pt idx="3">
                  <c:v>227.86666666666667</c:v>
                </c:pt>
                <c:pt idx="4" formatCode="0">
                  <c:v>227.86666666666667</c:v>
                </c:pt>
                <c:pt idx="5">
                  <c:v>227.86666666666667</c:v>
                </c:pt>
                <c:pt idx="6" formatCode="0">
                  <c:v>227.86666666666667</c:v>
                </c:pt>
                <c:pt idx="7">
                  <c:v>227.86666666666667</c:v>
                </c:pt>
                <c:pt idx="8" formatCode="0">
                  <c:v>227.86666666666667</c:v>
                </c:pt>
                <c:pt idx="9">
                  <c:v>227.86666666666667</c:v>
                </c:pt>
                <c:pt idx="10" formatCode="0">
                  <c:v>227.86666666666667</c:v>
                </c:pt>
                <c:pt idx="11">
                  <c:v>227.86666666666667</c:v>
                </c:pt>
                <c:pt idx="12" formatCode="0">
                  <c:v>227.86666666666667</c:v>
                </c:pt>
                <c:pt idx="13">
                  <c:v>227.86666666666667</c:v>
                </c:pt>
                <c:pt idx="14" formatCode="0">
                  <c:v>227.86666666666667</c:v>
                </c:pt>
                <c:pt idx="15">
                  <c:v>227.86666666666667</c:v>
                </c:pt>
                <c:pt idx="16" formatCode="0">
                  <c:v>227.86666666666667</c:v>
                </c:pt>
                <c:pt idx="17">
                  <c:v>227.86666666666667</c:v>
                </c:pt>
                <c:pt idx="18" formatCode="0">
                  <c:v>227.86666666666667</c:v>
                </c:pt>
                <c:pt idx="19">
                  <c:v>227.86666666666667</c:v>
                </c:pt>
                <c:pt idx="20" formatCode="0">
                  <c:v>227.86666666666667</c:v>
                </c:pt>
                <c:pt idx="21">
                  <c:v>227.86666666666667</c:v>
                </c:pt>
                <c:pt idx="22" formatCode="0">
                  <c:v>227.86666666666667</c:v>
                </c:pt>
                <c:pt idx="23">
                  <c:v>227.86666666666667</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44.64</c:v>
                </c:pt>
                <c:pt idx="1">
                  <c:v>44.64</c:v>
                </c:pt>
                <c:pt idx="2" formatCode="0">
                  <c:v>40.32</c:v>
                </c:pt>
                <c:pt idx="3">
                  <c:v>40.32</c:v>
                </c:pt>
                <c:pt idx="4" formatCode="0">
                  <c:v>44.64</c:v>
                </c:pt>
                <c:pt idx="5">
                  <c:v>44.64</c:v>
                </c:pt>
                <c:pt idx="6" formatCode="0">
                  <c:v>43.199999999999996</c:v>
                </c:pt>
                <c:pt idx="7">
                  <c:v>43.199999999999996</c:v>
                </c:pt>
                <c:pt idx="8" formatCode="0">
                  <c:v>44.64</c:v>
                </c:pt>
                <c:pt idx="9">
                  <c:v>44.64</c:v>
                </c:pt>
                <c:pt idx="10" formatCode="0">
                  <c:v>43.199999999999996</c:v>
                </c:pt>
                <c:pt idx="11">
                  <c:v>43.199999999999996</c:v>
                </c:pt>
                <c:pt idx="12" formatCode="0">
                  <c:v>30.240000000000002</c:v>
                </c:pt>
                <c:pt idx="13">
                  <c:v>30.240000000000002</c:v>
                </c:pt>
                <c:pt idx="14" formatCode="0">
                  <c:v>44.64</c:v>
                </c:pt>
                <c:pt idx="15">
                  <c:v>44.64</c:v>
                </c:pt>
                <c:pt idx="16" formatCode="0">
                  <c:v>43.199999999999996</c:v>
                </c:pt>
                <c:pt idx="17">
                  <c:v>43.199999999999996</c:v>
                </c:pt>
                <c:pt idx="18" formatCode="0">
                  <c:v>44.64</c:v>
                </c:pt>
                <c:pt idx="19">
                  <c:v>44.64</c:v>
                </c:pt>
                <c:pt idx="20" formatCode="0">
                  <c:v>43.199999999999996</c:v>
                </c:pt>
                <c:pt idx="21">
                  <c:v>43.199999999999996</c:v>
                </c:pt>
                <c:pt idx="22" formatCode="0.0">
                  <c:v>44.64</c:v>
                </c:pt>
                <c:pt idx="23">
                  <c:v>44.64</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670972120"/>
        <c:axId val="670972512"/>
      </c:barChart>
      <c:catAx>
        <c:axId val="670972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70972512"/>
        <c:crosses val="autoZero"/>
        <c:auto val="1"/>
        <c:lblAlgn val="ctr"/>
        <c:lblOffset val="100"/>
        <c:noMultiLvlLbl val="0"/>
      </c:catAx>
      <c:valAx>
        <c:axId val="6709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70972120"/>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checked="Checked"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checked="Checked"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4.4" x14ac:dyDescent="0.3">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5.2" x14ac:dyDescent="0.45">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55000000000000004">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3000-4000</v>
      </c>
      <c r="D2" s="1009"/>
      <c r="E2" s="75">
        <f>VLOOKUP(CONCATENATE('Ввод исходных данных'!$D$10,'Ввод исходных данных'!$D$11),Климатология!$D$9:$BF$548,E7,0)</f>
        <v>188</v>
      </c>
      <c r="F2" s="75">
        <f>VLOOKUP(CONCATENATE('Ввод исходных данных'!$D$10,'Ввод исходных данных'!$D$11),Климатология!$D$9:$BF$548,F7,0)</f>
        <v>1.2</v>
      </c>
      <c r="G2" s="75">
        <f>VLOOKUP(CONCATENATE('Ввод исходных данных'!$D$10,'Ввод исходных данных'!$D$11),Климатология!$D$9:$BF$548,G7,0)</f>
        <v>-19</v>
      </c>
      <c r="H2" s="75">
        <f>VLOOKUP(CONCATENATE('Ввод исходных данных'!$D$10,'Ввод исходных данных'!$D$11),Климатология!$D$9:$BF$548,H7,0)</f>
        <v>3.6</v>
      </c>
      <c r="I2" s="75">
        <f>VLOOKUP(CONCATENATE('Ввод исходных данных'!$D$10,'Ввод исходных данных'!$D$11),Климатология!$D$9:$BF$548,I7,0)</f>
        <v>3534.4</v>
      </c>
      <c r="J2" s="75" t="str">
        <f>VLOOKUP(CONCATENATE('Ввод исходных данных'!$D$10,'Ввод исходных данных'!$D$11),Климатология!$D$9:$BF$548,J7,0)</f>
        <v>3000-4000</v>
      </c>
      <c r="K2" s="75">
        <f>VLOOKUP(CONCATENATE('Ввод исходных данных'!$D$10,'Ввод исходных данных'!$D$11),Климатология!$D$9:$BF$548,K7,0)</f>
        <v>17.7</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17.3</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12.9</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8.3000000000000007</v>
      </c>
      <c r="Y2" s="75">
        <f>VLOOKUP(CONCATENATE('Ввод исходных данных'!$D$10,'Ввод исходных данных'!$D$11),Климатология!$D$9:$BF$548,Y7,0)</f>
        <v>18.5</v>
      </c>
      <c r="Z2" s="75">
        <f>VLOOKUP(CONCATENATE('Ввод исходных данных'!$D$10,'Ввод исходных данных'!$D$11),Климатология!$D$9:$BF$548,Z7,0)</f>
        <v>216.45</v>
      </c>
      <c r="AA2" s="75">
        <f>VLOOKUP(CONCATENATE('Ввод исходных данных'!$D$10,'Ввод исходных данных'!$D$11),Климатология!$D$9:$BF$548,AA7,0)</f>
        <v>3.4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498.00000000000006</v>
      </c>
      <c r="AE2" s="75">
        <f>VLOOKUP(CONCATENATE('Ввод исходных данных'!$D$10,'Ввод исходных данных'!$D$11),Климатология!$D$9:$BF$548,AE7,0)</f>
        <v>-0.4</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632.4</v>
      </c>
      <c r="AI2" s="75">
        <f>VLOOKUP(CONCATENATE('Ввод исходных данных'!$D$10,'Ввод исходных данных'!$D$11),Климатология!$D$9:$BF$548,AI7,0)</f>
        <v>-2.2000000000000002</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688.19999999999993</v>
      </c>
      <c r="AM2" s="75">
        <f>VLOOKUP(CONCATENATE('Ввод исходных данных'!$D$10,'Ввод исходных данных'!$D$11),Климатология!$D$9:$BF$548,AM7,0)</f>
        <v>-1.7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607.6</v>
      </c>
      <c r="AQ2" s="75">
        <f>VLOOKUP(CONCATENATE('Ввод исходных данных'!$D$10,'Ввод исходных данных'!$D$11),Климатология!$D$9:$BF$548,AQ7,0)</f>
        <v>1.7</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567.30000000000007</v>
      </c>
      <c r="AU2" s="75">
        <f>VLOOKUP(CONCATENATE('Ввод исходных данных'!$D$10,'Ввод исходных данных'!$D$11),Климатология!$D$9:$BF$548,AU7,0)</f>
        <v>6.7</v>
      </c>
      <c r="AW2" s="75">
        <f>VLOOKUP(CONCATENATE('Ввод исходных данных'!$D$10,'Ввод исходных данных'!$D$11),Климатология!$D$9:$BF$548,AW7,0)</f>
        <v>18.5</v>
      </c>
      <c r="AX2" s="75">
        <f>VLOOKUP(CONCATENATE('Ввод исходных данных'!$D$10,'Ввод исходных данных'!$D$11),Климатология!$D$9:$BF$548,AX7,0)</f>
        <v>246.05</v>
      </c>
      <c r="AY2" s="75">
        <f>VLOOKUP(CONCATENATE('Ввод исходных данных'!$D$10,'Ввод исходных данных'!$D$11),Климатология!$D$9:$BF$548,AY7,0)</f>
        <v>12.2</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15.6</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3">
      <c r="C3" s="1010" t="str">
        <f>CONCATENATE('Ввод исходных данных'!$D$10,'Ввод исходных данных'!$D$11)</f>
        <v>Калининградская областьКалининград</v>
      </c>
    </row>
    <row r="4" spans="1:58" ht="15.75" customHeight="1" x14ac:dyDescent="0.3">
      <c r="A4" s="74"/>
      <c r="B4" s="74"/>
      <c r="C4" s="74"/>
      <c r="D4" s="74"/>
      <c r="E4" s="74"/>
      <c r="F4" s="74"/>
      <c r="G4" s="74"/>
      <c r="H4" s="74"/>
      <c r="I4" s="74"/>
      <c r="J4" s="74"/>
    </row>
    <row r="5" spans="1:58" ht="15.75" customHeight="1" x14ac:dyDescent="0.3">
      <c r="A5" s="74"/>
      <c r="B5" s="74"/>
      <c r="C5" s="74"/>
      <c r="D5" s="74"/>
      <c r="E5" s="74"/>
      <c r="F5" s="74"/>
      <c r="G5" s="74"/>
      <c r="H5" s="74"/>
      <c r="I5" s="74"/>
      <c r="J5" s="74"/>
    </row>
    <row r="6" spans="1:58" ht="15.75" customHeight="1" x14ac:dyDescent="0.3">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3">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39</v>
      </c>
      <c r="D2" s="74"/>
      <c r="E2" s="74"/>
      <c r="F2" s="74"/>
      <c r="G2" s="74"/>
      <c r="H2" s="74"/>
      <c r="I2" s="74"/>
      <c r="J2" s="74"/>
      <c r="K2" s="74"/>
      <c r="L2" s="74"/>
      <c r="M2" s="74"/>
      <c r="N2" s="74"/>
      <c r="O2" s="74"/>
      <c r="P2" s="74"/>
      <c r="Q2" s="74"/>
      <c r="R2" s="74"/>
      <c r="S2" s="74"/>
      <c r="T2" s="74"/>
      <c r="U2" s="74"/>
      <c r="V2" s="74"/>
    </row>
    <row r="3" spans="1:59" ht="37.5" customHeight="1" x14ac:dyDescent="0.3">
      <c r="A3" s="1850" t="s">
        <v>757</v>
      </c>
      <c r="B3" s="1852" t="s">
        <v>1380</v>
      </c>
      <c r="C3" s="1854" t="s">
        <v>1370</v>
      </c>
      <c r="D3" s="1855"/>
      <c r="E3" s="1855"/>
      <c r="F3" s="1855"/>
      <c r="G3" s="1855"/>
      <c r="H3" s="1856"/>
      <c r="I3" s="1857" t="s">
        <v>1371</v>
      </c>
      <c r="J3" s="1857"/>
      <c r="K3" s="1858"/>
      <c r="L3" s="74"/>
      <c r="M3" s="74"/>
      <c r="N3" s="74"/>
      <c r="O3" s="74"/>
      <c r="P3" s="74"/>
      <c r="Q3" s="74"/>
      <c r="R3" s="74"/>
      <c r="S3" s="74"/>
      <c r="T3" s="74"/>
      <c r="U3" s="74"/>
      <c r="V3" s="74"/>
    </row>
    <row r="4" spans="1:59" ht="45.9" customHeight="1" x14ac:dyDescent="0.3">
      <c r="A4" s="1851"/>
      <c r="B4" s="1853"/>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0.74712643678160928</v>
      </c>
      <c r="K5" s="1104">
        <f>MAX(I5:J5)</f>
        <v>0.94081687762475719</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0.74712643678160928</v>
      </c>
      <c r="K6" s="1104">
        <f t="shared" ref="K6:K33" si="1">MAX(I6:J6)</f>
        <v>0.88699221817662599</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0.74712643678160928</v>
      </c>
      <c r="K7" s="1104">
        <f t="shared" si="1"/>
        <v>1.0622198092130406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0.74712643678160928</v>
      </c>
      <c r="K8" s="1104">
        <f t="shared" si="1"/>
        <v>0.82345746442182322</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0.74712643678160928</v>
      </c>
      <c r="K9" s="1104">
        <f t="shared" si="1"/>
        <v>0.84977584737043255</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0" s="1104">
        <f t="shared" si="1"/>
        <v>0.84977584737043255</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1" s="1104">
        <f t="shared" si="1"/>
        <v>0.84977584737043255</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0.74712643678160928</v>
      </c>
      <c r="K12" s="1104">
        <f t="shared" si="1"/>
        <v>0.84977584737043255</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0.74712643678160928</v>
      </c>
      <c r="K13" s="1104">
        <f t="shared" si="1"/>
        <v>0.75265350209980575</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0.74712643678160928</v>
      </c>
      <c r="K14" s="1104">
        <f t="shared" si="1"/>
        <v>0.74712643678160928</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0.74712643678160928</v>
      </c>
      <c r="K15" s="1104">
        <f t="shared" ref="K15" si="3">MAX(I15:J15)</f>
        <v>0.74712643678160928</v>
      </c>
      <c r="L15" s="74"/>
      <c r="M15" s="74"/>
      <c r="N15" s="74"/>
      <c r="O15" s="74"/>
      <c r="P15" s="74"/>
      <c r="Q15" s="74"/>
      <c r="R15" s="74"/>
      <c r="S15" s="74"/>
      <c r="T15" s="74"/>
      <c r="U15" s="74"/>
      <c r="V15" s="74"/>
      <c r="W15" s="1105"/>
    </row>
    <row r="16" spans="1:59" s="1106" customFormat="1" ht="17.100000000000001" customHeight="1" x14ac:dyDescent="0.3">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0.74712643678160928</v>
      </c>
      <c r="K16" s="1104">
        <f t="shared" si="1"/>
        <v>0.84977584737043255</v>
      </c>
      <c r="L16" s="74"/>
      <c r="M16" s="74"/>
      <c r="N16" s="74"/>
      <c r="O16" s="74"/>
      <c r="P16" s="74"/>
      <c r="Q16" s="74"/>
      <c r="R16" s="74"/>
      <c r="S16" s="74"/>
      <c r="T16" s="74"/>
      <c r="U16" s="74"/>
      <c r="V16" s="74"/>
      <c r="W16" s="1105"/>
    </row>
    <row r="17" spans="1:23" s="1106" customFormat="1" ht="17.100000000000001" customHeight="1" x14ac:dyDescent="0.3">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0.74712643678160928</v>
      </c>
      <c r="K17" s="1104">
        <f t="shared" si="1"/>
        <v>0.84977584737043255</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0.74712643678160928</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0.74712643678160928</v>
      </c>
      <c r="K19" s="1104">
        <f t="shared" si="1"/>
        <v>0.89371490725225611</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0.74712643678160928</v>
      </c>
      <c r="K20" s="1104">
        <f t="shared" si="1"/>
        <v>0.74712643678160928</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0.74712643678160928</v>
      </c>
      <c r="K21" s="1104">
        <f t="shared" si="1"/>
        <v>0.94081687762475719</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0.74712643678160928</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0.74712643678160928</v>
      </c>
      <c r="K23" s="1104">
        <f t="shared" si="1"/>
        <v>0.94081687762475719</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0.74712643678160928</v>
      </c>
      <c r="K24" s="1104">
        <f t="shared" si="1"/>
        <v>0.88699221817662599</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0.74712643678160928</v>
      </c>
      <c r="K25" s="1104">
        <f t="shared" si="1"/>
        <v>0.93890859448324615</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0.74712643678160928</v>
      </c>
      <c r="K26" s="1104">
        <f t="shared" si="1"/>
        <v>0.94081687762475719</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0.74712643678160928</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0.74712643678160928</v>
      </c>
      <c r="K28" s="1104">
        <f t="shared" si="1"/>
        <v>0.94081687762475719</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0.74712643678160928</v>
      </c>
      <c r="K29" s="1104">
        <f t="shared" si="1"/>
        <v>1.0622198092130406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0.74712643678160928</v>
      </c>
      <c r="K30" s="1104">
        <f t="shared" si="1"/>
        <v>0.97984936103376874</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0.74712643678160928</v>
      </c>
      <c r="K31" s="1104">
        <f t="shared" si="1"/>
        <v>0.89371490725225611</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0.74712643678160928</v>
      </c>
      <c r="J32" s="1103">
        <f>1*('Ввод исходных данных'!$D$83-'Расчет базового уровня'!$D$145)/(6*8.7)</f>
        <v>0.74712643678160928</v>
      </c>
      <c r="K32" s="1104">
        <f t="shared" ref="K32" si="8">MAX(I32:J32)</f>
        <v>0.74712643678160928</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0.74712643678160928</v>
      </c>
      <c r="K33" s="1104">
        <f t="shared" si="1"/>
        <v>0.84977584737043255</v>
      </c>
      <c r="L33" s="74"/>
      <c r="M33" s="74"/>
      <c r="N33" s="74"/>
      <c r="O33" s="74"/>
      <c r="P33" s="74"/>
      <c r="Q33" s="74"/>
      <c r="R33" s="74"/>
      <c r="S33" s="74"/>
      <c r="T33" s="74"/>
      <c r="U33" s="74"/>
      <c r="V33" s="74"/>
      <c r="W33" s="1105"/>
    </row>
    <row r="34" spans="1:23" s="1106" customFormat="1" ht="17.100000000000001" customHeight="1" x14ac:dyDescent="0.3">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3">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3">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3">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3">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0.74712643678160928</v>
      </c>
    </row>
    <row r="45" spans="1:23" x14ac:dyDescent="0.3">
      <c r="A45" s="95" t="s">
        <v>865</v>
      </c>
      <c r="B45" s="1122">
        <f>0.6*B44</f>
        <v>0.44827586206896558</v>
      </c>
    </row>
    <row r="46" spans="1:23" ht="15" customHeight="1" x14ac:dyDescent="0.35">
      <c r="A46" s="95" t="s">
        <v>864</v>
      </c>
      <c r="B46" s="1122">
        <f>IF(C2&gt;25,IF(C2&gt;44, IF(C2&gt;49,0.52,0.38),0.34), 0.17)</f>
        <v>0.34</v>
      </c>
      <c r="I46" s="1123"/>
    </row>
    <row r="47" spans="1:23" x14ac:dyDescent="0.3">
      <c r="A47" s="274" t="s">
        <v>1329</v>
      </c>
      <c r="B47" s="1124">
        <v>1.32</v>
      </c>
    </row>
    <row r="48" spans="1:23" x14ac:dyDescent="0.3">
      <c r="A48" s="274" t="s">
        <v>1333</v>
      </c>
      <c r="B48" s="1124">
        <f>1*('Ввод исходных данных'!$D$83-'Расчет базового уровня'!$D$145)/(6*8.7)</f>
        <v>0.74712643678160928</v>
      </c>
    </row>
    <row r="49" spans="1:3" x14ac:dyDescent="0.3">
      <c r="A49" s="274" t="s">
        <v>1334</v>
      </c>
      <c r="B49" s="1124">
        <f>1*('Ввод исходных данных'!$D$83-'Расчет базового уровня'!$D$145)/(3*8.7)</f>
        <v>1.4942528735632186</v>
      </c>
    </row>
    <row r="50" spans="1:3" ht="17.25" customHeight="1" x14ac:dyDescent="0.3">
      <c r="A50" s="274" t="s">
        <v>1308</v>
      </c>
      <c r="B50" s="1124">
        <f>0.4*('Ввод исходных данных'!$D$83-'Расчет базового уровня'!$D$145)/(4*8.7)</f>
        <v>0.44827586206896558</v>
      </c>
    </row>
    <row r="51" spans="1:3" x14ac:dyDescent="0.3">
      <c r="A51" s="274" t="s">
        <v>1304</v>
      </c>
      <c r="B51" s="1124">
        <f>B44</f>
        <v>0.74712643678160928</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44" t="s">
        <v>959</v>
      </c>
      <c r="B74" s="1845"/>
      <c r="C74" s="1846"/>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44" t="s">
        <v>960</v>
      </c>
      <c r="B79" s="1845"/>
      <c r="C79" s="1846"/>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47" t="s">
        <v>967</v>
      </c>
      <c r="B90" s="1848"/>
      <c r="C90" s="1849"/>
      <c r="D90" s="75"/>
      <c r="E90" s="75"/>
      <c r="F90" s="75"/>
      <c r="G90" s="75"/>
      <c r="H90" s="75"/>
      <c r="I90" s="75"/>
      <c r="J90" s="75"/>
      <c r="K90" s="75"/>
      <c r="L90" s="75"/>
      <c r="M90" s="75"/>
      <c r="N90" s="75"/>
      <c r="O90" s="75"/>
    </row>
    <row r="91" spans="1:15" s="1146" customFormat="1" ht="13.5" customHeight="1" x14ac:dyDescent="0.3">
      <c r="A91" s="1847" t="s">
        <v>968</v>
      </c>
      <c r="B91" s="1848"/>
      <c r="C91" s="1849"/>
      <c r="D91" s="75"/>
      <c r="E91" s="75"/>
      <c r="F91" s="75"/>
      <c r="G91" s="75"/>
      <c r="H91" s="75"/>
      <c r="I91" s="75"/>
      <c r="J91" s="75"/>
      <c r="K91" s="75"/>
      <c r="L91" s="75"/>
      <c r="M91" s="75"/>
      <c r="N91" s="75"/>
      <c r="O91" s="75"/>
    </row>
    <row r="92" spans="1:15" s="1146" customFormat="1" ht="13.5" customHeight="1" x14ac:dyDescent="0.3">
      <c r="A92" s="1847" t="s">
        <v>969</v>
      </c>
      <c r="B92" s="1848"/>
      <c r="C92" s="1849"/>
      <c r="D92" s="75"/>
      <c r="E92" s="75"/>
      <c r="F92" s="75"/>
      <c r="G92" s="75"/>
      <c r="H92" s="75"/>
      <c r="I92" s="75"/>
      <c r="J92" s="75"/>
      <c r="K92" s="75"/>
      <c r="L92" s="75"/>
      <c r="M92" s="75"/>
      <c r="N92" s="75"/>
      <c r="O92" s="75"/>
    </row>
    <row r="93" spans="1:15" s="1146" customFormat="1" ht="13.5" customHeight="1" x14ac:dyDescent="0.3">
      <c r="A93" s="1841" t="s">
        <v>970</v>
      </c>
      <c r="B93" s="1842"/>
      <c r="C93" s="1843"/>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9" t="s">
        <v>901</v>
      </c>
      <c r="B97" s="1860" t="s">
        <v>1005</v>
      </c>
      <c r="C97" s="1860"/>
      <c r="D97" s="1860"/>
      <c r="E97" s="1860" t="s">
        <v>1006</v>
      </c>
      <c r="F97" s="1860"/>
      <c r="G97" s="1860"/>
      <c r="H97" s="1860"/>
    </row>
    <row r="98" spans="1:8" s="1146" customFormat="1" ht="13.5" customHeight="1" x14ac:dyDescent="0.3">
      <c r="A98" s="1859"/>
      <c r="B98" s="1157" t="s">
        <v>1007</v>
      </c>
      <c r="C98" s="1860" t="s">
        <v>1009</v>
      </c>
      <c r="D98" s="1867" t="s">
        <v>1010</v>
      </c>
      <c r="E98" s="1860" t="s">
        <v>1012</v>
      </c>
      <c r="F98" s="1860"/>
      <c r="G98" s="1860" t="s">
        <v>1015</v>
      </c>
      <c r="H98" s="1860"/>
    </row>
    <row r="99" spans="1:8" s="1146" customFormat="1" ht="13.5" customHeight="1" x14ac:dyDescent="0.3">
      <c r="A99" s="1859"/>
      <c r="B99" s="1157" t="s">
        <v>1008</v>
      </c>
      <c r="C99" s="1860"/>
      <c r="D99" s="1868"/>
      <c r="E99" s="1860" t="s">
        <v>1013</v>
      </c>
      <c r="F99" s="1860"/>
      <c r="G99" s="1860"/>
      <c r="H99" s="1860"/>
    </row>
    <row r="100" spans="1:8" s="1146" customFormat="1" ht="13.5" customHeight="1" x14ac:dyDescent="0.3">
      <c r="A100" s="1859"/>
      <c r="B100" s="1158"/>
      <c r="C100" s="1860"/>
      <c r="D100" s="1869"/>
      <c r="E100" s="1860" t="s">
        <v>1014</v>
      </c>
      <c r="F100" s="1860"/>
      <c r="G100" s="1860"/>
      <c r="H100" s="1860"/>
    </row>
    <row r="101" spans="1:8" s="1146" customFormat="1" ht="13.5" customHeight="1" x14ac:dyDescent="0.3">
      <c r="A101" s="1859"/>
      <c r="B101" s="1158"/>
      <c r="C101" s="1860"/>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62" t="s">
        <v>1016</v>
      </c>
      <c r="B103" s="1862"/>
      <c r="C103" s="1862"/>
      <c r="D103" s="1862"/>
      <c r="E103" s="1862"/>
      <c r="F103" s="1862"/>
      <c r="G103" s="1862"/>
      <c r="H103" s="1862"/>
    </row>
    <row r="104" spans="1:8" s="1146" customFormat="1" ht="13.5" customHeight="1" x14ac:dyDescent="0.3">
      <c r="A104" s="1861" t="s">
        <v>1017</v>
      </c>
      <c r="B104" s="1861"/>
      <c r="C104" s="1861"/>
      <c r="D104" s="1861"/>
      <c r="E104" s="1861"/>
      <c r="F104" s="1861"/>
      <c r="G104" s="1861"/>
      <c r="H104" s="1861"/>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60" t="s">
        <v>1022</v>
      </c>
      <c r="B126" s="1157" t="s">
        <v>1039</v>
      </c>
      <c r="C126" s="1863">
        <v>1.26</v>
      </c>
      <c r="D126" s="1864">
        <v>4.1000000000000002E-2</v>
      </c>
      <c r="E126" s="1860">
        <v>2</v>
      </c>
      <c r="F126" s="1860">
        <v>10</v>
      </c>
      <c r="G126" s="1860">
        <v>0.05</v>
      </c>
      <c r="H126" s="1860">
        <v>5.1999999999999998E-2</v>
      </c>
    </row>
    <row r="127" spans="1:8" s="1146" customFormat="1" ht="13.5" customHeight="1" x14ac:dyDescent="0.3">
      <c r="A127" s="1860"/>
      <c r="B127" s="1157" t="s">
        <v>1040</v>
      </c>
      <c r="C127" s="1863"/>
      <c r="D127" s="1864"/>
      <c r="E127" s="1860"/>
      <c r="F127" s="1860"/>
      <c r="G127" s="1860"/>
      <c r="H127" s="1860"/>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60" t="s">
        <v>1046</v>
      </c>
      <c r="B139" s="1157" t="s">
        <v>1047</v>
      </c>
      <c r="C139" s="1161">
        <v>1.806</v>
      </c>
      <c r="D139" s="1162">
        <v>3.9E-2</v>
      </c>
      <c r="E139" s="1157">
        <v>0</v>
      </c>
      <c r="F139" s="1157">
        <v>0</v>
      </c>
      <c r="G139" s="1157">
        <v>3.9E-2</v>
      </c>
      <c r="H139" s="1157" t="s">
        <v>1052</v>
      </c>
    </row>
    <row r="140" spans="1:8" s="1146" customFormat="1" ht="13.5" customHeight="1" x14ac:dyDescent="0.3">
      <c r="A140" s="1860"/>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61" t="s">
        <v>1055</v>
      </c>
      <c r="B143" s="1861"/>
      <c r="C143" s="1861"/>
      <c r="D143" s="1861"/>
      <c r="E143" s="1861"/>
      <c r="F143" s="1861"/>
      <c r="G143" s="1861"/>
      <c r="H143" s="1861"/>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61" t="s">
        <v>1072</v>
      </c>
      <c r="B185" s="1861"/>
      <c r="C185" s="1861"/>
      <c r="D185" s="1861"/>
      <c r="E185" s="1861"/>
      <c r="F185" s="1861"/>
      <c r="G185" s="1861"/>
      <c r="H185" s="1861"/>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61" t="s">
        <v>1082</v>
      </c>
      <c r="B208" s="1861"/>
      <c r="C208" s="1861"/>
      <c r="D208" s="1861"/>
      <c r="E208" s="1861"/>
      <c r="F208" s="1861"/>
      <c r="G208" s="1861"/>
      <c r="H208" s="1861"/>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61" t="s">
        <v>1090</v>
      </c>
      <c r="B237" s="1861"/>
      <c r="C237" s="1861"/>
      <c r="D237" s="1861"/>
      <c r="E237" s="1861"/>
      <c r="F237" s="1861"/>
      <c r="G237" s="1861"/>
      <c r="H237" s="1861"/>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62" t="s">
        <v>1095</v>
      </c>
      <c r="B245" s="1862"/>
      <c r="C245" s="1862"/>
      <c r="D245" s="1862"/>
      <c r="E245" s="1862"/>
      <c r="F245" s="1862"/>
      <c r="G245" s="1862"/>
      <c r="H245" s="1862"/>
    </row>
    <row r="246" spans="1:8" s="1146" customFormat="1" ht="13.5" customHeight="1" x14ac:dyDescent="0.3">
      <c r="A246" s="1865" t="s">
        <v>1096</v>
      </c>
      <c r="B246" s="1865"/>
      <c r="C246" s="1865"/>
      <c r="D246" s="1865"/>
      <c r="E246" s="1865"/>
      <c r="F246" s="1865"/>
      <c r="G246" s="1865"/>
      <c r="H246" s="1865"/>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61" t="s">
        <v>1100</v>
      </c>
      <c r="B261" s="1861"/>
      <c r="C261" s="1861"/>
      <c r="D261" s="1861"/>
      <c r="E261" s="1861"/>
      <c r="F261" s="1861"/>
      <c r="G261" s="1861"/>
      <c r="H261" s="1861"/>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61" t="s">
        <v>1112</v>
      </c>
      <c r="B308" s="1861"/>
      <c r="C308" s="1861"/>
      <c r="D308" s="1861"/>
      <c r="E308" s="1861"/>
      <c r="F308" s="1861"/>
      <c r="G308" s="1861"/>
      <c r="H308" s="1861"/>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70" t="s">
        <v>1116</v>
      </c>
      <c r="B324" s="1870"/>
      <c r="C324" s="1870"/>
      <c r="D324" s="1870"/>
      <c r="E324" s="1870"/>
      <c r="F324" s="1870"/>
      <c r="G324" s="1870"/>
      <c r="H324" s="1870"/>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70" t="s">
        <v>1123</v>
      </c>
      <c r="B332" s="1870"/>
      <c r="C332" s="1870"/>
      <c r="D332" s="1870"/>
      <c r="E332" s="1870"/>
      <c r="F332" s="1870"/>
      <c r="G332" s="1870"/>
      <c r="H332" s="1870"/>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60">
        <v>1400</v>
      </c>
      <c r="C337" s="1863">
        <v>0.88</v>
      </c>
      <c r="D337" s="1860">
        <v>0.52</v>
      </c>
      <c r="E337" s="1860">
        <v>2</v>
      </c>
      <c r="F337" s="1860">
        <v>4</v>
      </c>
      <c r="G337" s="1860">
        <v>0.64</v>
      </c>
      <c r="H337" s="1860">
        <v>0.76</v>
      </c>
    </row>
    <row r="338" spans="1:10" s="1146" customFormat="1" ht="13.5" customHeight="1" x14ac:dyDescent="0.3">
      <c r="A338" s="1157" t="s">
        <v>1129</v>
      </c>
      <c r="B338" s="1860"/>
      <c r="C338" s="1863"/>
      <c r="D338" s="1860"/>
      <c r="E338" s="1860"/>
      <c r="F338" s="1860"/>
      <c r="G338" s="1860"/>
      <c r="H338" s="1860"/>
    </row>
    <row r="339" spans="1:10" s="1146" customFormat="1" ht="13.5" customHeight="1" x14ac:dyDescent="0.3">
      <c r="A339" s="1861" t="s">
        <v>1130</v>
      </c>
      <c r="B339" s="1861"/>
      <c r="C339" s="1861"/>
      <c r="D339" s="1861"/>
      <c r="E339" s="1861"/>
      <c r="F339" s="1861"/>
      <c r="G339" s="1861"/>
      <c r="H339" s="1861"/>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62" t="s">
        <v>1138</v>
      </c>
      <c r="B347" s="1862"/>
      <c r="C347" s="1862"/>
      <c r="D347" s="1862"/>
      <c r="E347" s="1862"/>
      <c r="F347" s="1862"/>
      <c r="G347" s="1862"/>
      <c r="H347" s="1862"/>
      <c r="J347" s="1146">
        <v>4.1000000000000002E-2</v>
      </c>
    </row>
    <row r="348" spans="1:10" s="1146" customFormat="1" ht="13.5" customHeight="1" x14ac:dyDescent="0.3">
      <c r="A348" s="1861" t="s">
        <v>1139</v>
      </c>
      <c r="B348" s="1861"/>
      <c r="C348" s="1861"/>
      <c r="D348" s="1861"/>
      <c r="E348" s="1861"/>
      <c r="F348" s="1861"/>
      <c r="G348" s="1861"/>
      <c r="H348" s="1861"/>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61" t="s">
        <v>1145</v>
      </c>
      <c r="B354" s="1861"/>
      <c r="C354" s="1861"/>
      <c r="D354" s="1861"/>
      <c r="E354" s="1861"/>
      <c r="F354" s="1861"/>
      <c r="G354" s="1861"/>
      <c r="H354" s="1861"/>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66" t="s">
        <v>1150</v>
      </c>
      <c r="B367" s="1866"/>
      <c r="C367" s="1866"/>
      <c r="D367" s="1866"/>
      <c r="E367" s="1866"/>
      <c r="F367" s="1866"/>
      <c r="G367" s="1866"/>
      <c r="H367" s="1866"/>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61" t="s">
        <v>1157</v>
      </c>
      <c r="B380" s="1861"/>
      <c r="C380" s="1861"/>
      <c r="D380" s="1861"/>
      <c r="E380" s="1861"/>
      <c r="F380" s="1861"/>
      <c r="G380" s="1861"/>
      <c r="H380" s="1861"/>
      <c r="I380" s="1146"/>
      <c r="J380" s="1146"/>
      <c r="K380" s="1146"/>
      <c r="L380" s="1146"/>
      <c r="M380" s="1146"/>
      <c r="N380" s="1146"/>
      <c r="O380" s="1146"/>
    </row>
    <row r="381" spans="1:15"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1.5068799999999998</v>
      </c>
      <c r="C412" s="285">
        <f>B409+B408*Климатология!$I$2</f>
        <v>2.6370399999999998</v>
      </c>
    </row>
    <row r="413" spans="1:5" x14ac:dyDescent="0.3">
      <c r="A413" s="95" t="s">
        <v>1505</v>
      </c>
      <c r="B413" s="285">
        <f>C399+C398*Климатология!$I$2</f>
        <v>2.33704</v>
      </c>
      <c r="C413" s="285">
        <f>C409+C408*Климатология!$I$2</f>
        <v>3.9672000000000001</v>
      </c>
    </row>
    <row r="414" spans="1:5" x14ac:dyDescent="0.3">
      <c r="A414" s="95" t="s">
        <v>1506</v>
      </c>
      <c r="B414" s="285">
        <f>D399+D398*Климатология!$I$2</f>
        <v>2.0603200000000004</v>
      </c>
      <c r="C414" s="285">
        <f>D409+D408*Климатология!$I$2</f>
        <v>3.4904799999999998</v>
      </c>
    </row>
    <row r="415" spans="1:5" x14ac:dyDescent="0.3">
      <c r="A415" s="95" t="s">
        <v>1507</v>
      </c>
      <c r="B415" s="285">
        <f>E399+E398*Климатология!$I$2</f>
        <v>0.38836000000000004</v>
      </c>
      <c r="C415" s="285">
        <f>E409+E408*Климатология!$I$2</f>
        <v>0.38836000000000004</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71" t="s">
        <v>897</v>
      </c>
      <c r="G2" s="1872"/>
      <c r="H2" s="1871" t="s">
        <v>898</v>
      </c>
      <c r="I2" s="1872"/>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0</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1</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0</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1</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3">
      <c r="A20" s="85"/>
      <c r="B20" s="86"/>
      <c r="E20" s="84"/>
    </row>
    <row r="21" spans="1:5" ht="27.9" customHeight="1" x14ac:dyDescent="0.3">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IF(AND(списки!D34=0,'Ввод исходных данных'!D19&lt;9,'Ввод исходных данных'!D17&lt;=4),1,0)</f>
        <v>1</v>
      </c>
      <c r="E25" s="84"/>
    </row>
    <row r="26" spans="1:5" ht="27.9" customHeight="1" x14ac:dyDescent="0.3">
      <c r="A26" s="81" t="s">
        <v>1627</v>
      </c>
      <c r="B26" s="82">
        <f>1.07</f>
        <v>1.07</v>
      </c>
      <c r="C26" s="75">
        <f>IF(списки!D34=1,1,0)</f>
        <v>0</v>
      </c>
      <c r="E26" s="84"/>
    </row>
    <row r="27" spans="1:5" ht="27.9" customHeight="1" x14ac:dyDescent="0.3">
      <c r="A27" s="81" t="s">
        <v>1628</v>
      </c>
      <c r="B27" s="82">
        <f>1.05</f>
        <v>1.05</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55000000000000004">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3">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x14ac:dyDescent="0.3">
      <c r="A11" s="95"/>
      <c r="B11" s="95"/>
      <c r="C11" s="95"/>
    </row>
    <row r="12" spans="1:61" x14ac:dyDescent="0.3">
      <c r="A12" s="99"/>
      <c r="B12" s="95"/>
      <c r="C12" s="95"/>
    </row>
    <row r="13" spans="1:61" ht="28.5" customHeight="1" x14ac:dyDescent="0.3"/>
    <row r="14" spans="1:61" ht="43.5" customHeight="1" x14ac:dyDescent="0.3">
      <c r="B14" s="99"/>
    </row>
    <row r="15" spans="1:61" ht="13.5" customHeight="1" x14ac:dyDescent="0.3">
      <c r="A15" s="100"/>
    </row>
    <row r="16" spans="1:61" ht="13.5" customHeight="1" x14ac:dyDescent="0.3">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584</v>
      </c>
      <c r="C18" s="100"/>
      <c r="D18" s="100"/>
      <c r="E18" s="100"/>
      <c r="F18" s="100"/>
    </row>
    <row r="19" spans="1:6" ht="13.5" customHeight="1" x14ac:dyDescent="0.3">
      <c r="A19" s="101" t="s">
        <v>985</v>
      </c>
      <c r="B19" s="102">
        <f>'Ввод исходных данных'!G132*'Ввод исходных данных'!H132*'Ввод исходных данных'!D132/1000</f>
        <v>2102.4</v>
      </c>
      <c r="C19" s="100"/>
      <c r="D19" s="100"/>
      <c r="E19" s="100"/>
      <c r="F19" s="100"/>
    </row>
    <row r="20" spans="1:6" ht="13.5" customHeight="1" x14ac:dyDescent="0.3">
      <c r="A20" s="101" t="s">
        <v>1468</v>
      </c>
      <c r="B20" s="102">
        <f>'Ввод исходных данных'!G133*'Ввод исходных данных'!H133*'Ввод исходных данных'!D133/1000</f>
        <v>0</v>
      </c>
      <c r="C20" s="100"/>
      <c r="D20" s="100"/>
      <c r="E20" s="100"/>
      <c r="F20" s="100"/>
    </row>
    <row r="21" spans="1:6" ht="13.5" customHeight="1" x14ac:dyDescent="0.3">
      <c r="A21" s="101" t="s">
        <v>1469</v>
      </c>
      <c r="B21" s="103">
        <f>'Ввод исходных данных'!G134*'Ввод исходных данных'!H134*'Ввод исходных данных'!D134/1000</f>
        <v>36</v>
      </c>
      <c r="C21" s="100"/>
      <c r="D21" s="100"/>
      <c r="E21" s="100"/>
      <c r="F21" s="100"/>
    </row>
    <row r="22" spans="1:6" ht="13.5" customHeight="1" x14ac:dyDescent="0.3">
      <c r="A22" s="100"/>
      <c r="B22" s="103">
        <f>'Ввод исходных данных'!G135*'Ввод исходных данных'!H135*'Ввод исходных данных'!D135/1000</f>
        <v>12</v>
      </c>
      <c r="C22" s="100"/>
      <c r="D22" s="100"/>
      <c r="E22" s="100"/>
      <c r="F22" s="100"/>
    </row>
    <row r="23" spans="1:6" ht="13.5" customHeight="1" x14ac:dyDescent="0.3">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6" t="s">
        <v>823</v>
      </c>
    </row>
    <row r="29" spans="1:6" x14ac:dyDescent="0.3">
      <c r="A29" s="112" t="s">
        <v>832</v>
      </c>
      <c r="B29" s="116">
        <f>6.5</f>
        <v>6.5</v>
      </c>
      <c r="C29" s="1877" t="s">
        <v>831</v>
      </c>
      <c r="D29" s="117"/>
      <c r="E29" s="1876"/>
    </row>
    <row r="30" spans="1:6" x14ac:dyDescent="0.3">
      <c r="A30" s="118" t="s">
        <v>833</v>
      </c>
      <c r="B30" s="116">
        <f>25.2</f>
        <v>25.2</v>
      </c>
      <c r="C30" s="1877"/>
      <c r="D30" s="117"/>
      <c r="E30" s="1876"/>
    </row>
    <row r="31" spans="1:6" ht="25.5" customHeight="1" x14ac:dyDescent="0.3">
      <c r="A31" s="119" t="s">
        <v>973</v>
      </c>
      <c r="B31" s="120">
        <f>11</f>
        <v>11</v>
      </c>
      <c r="C31" s="1878"/>
      <c r="D31" s="121"/>
      <c r="E31" s="1876"/>
    </row>
    <row r="32" spans="1:6" x14ac:dyDescent="0.3">
      <c r="A32" s="90"/>
      <c r="B32" s="119"/>
      <c r="C32" s="119"/>
      <c r="D32" s="119"/>
      <c r="E32" s="94"/>
    </row>
    <row r="33" spans="1:23" x14ac:dyDescent="0.3">
      <c r="A33" s="90" t="s">
        <v>866</v>
      </c>
      <c r="B33" s="91"/>
      <c r="C33" s="92" t="s">
        <v>899</v>
      </c>
      <c r="D33" s="93" t="s">
        <v>900</v>
      </c>
      <c r="E33" s="94"/>
      <c r="G33" s="75">
        <f>C34*0.86/1000</f>
        <v>0.14303584423385168</v>
      </c>
    </row>
    <row r="34" spans="1:23" x14ac:dyDescent="0.3">
      <c r="A34" s="90"/>
      <c r="B34" s="91" t="s">
        <v>1599</v>
      </c>
      <c r="C34" s="122">
        <f>('Расчет базового уровня'!F144+'Расчет базового уровня'!F151-'Расчет базового уровня'!F148)*'Расчет базового уровня'!D158</f>
        <v>166.32074910912988</v>
      </c>
      <c r="D34" s="123">
        <f>('Расчет после реализации'!F144+'Расчет после реализации'!F151-'Расчет после реализации'!F148)*'Расчет после реализации'!D158</f>
        <v>181.04489227910736</v>
      </c>
      <c r="E34" s="75" t="s">
        <v>1603</v>
      </c>
    </row>
    <row r="35" spans="1:23" x14ac:dyDescent="0.3">
      <c r="A35" s="90">
        <f>C35*$C$43*0.00272/$C$44</f>
        <v>0.13294798165523264</v>
      </c>
      <c r="B35" s="91" t="s">
        <v>1601</v>
      </c>
      <c r="C35" s="124">
        <f>3.6*C34/('Ввод исходных данных'!$D$177-'Ввод исходных данных'!$D$178)/4.2</f>
        <v>5.7024256837415956</v>
      </c>
      <c r="D35" s="124">
        <f>3.6*D34/('Ввод исходных данных'!$D$177-'Ввод исходных данных'!$D$178)/4.2</f>
        <v>6.2072534495693956</v>
      </c>
      <c r="E35" s="93" t="s">
        <v>885</v>
      </c>
    </row>
    <row r="36" spans="1:23" x14ac:dyDescent="0.3">
      <c r="A36" s="77" t="s">
        <v>867</v>
      </c>
      <c r="B36" s="91" t="s">
        <v>1602</v>
      </c>
      <c r="C36" s="125">
        <f>C35*$C$43*0.00272/$C$44*(24*'Ввод исходных данных'!D246)</f>
        <v>609.43354790758644</v>
      </c>
      <c r="D36" s="125">
        <f>D35*$C$43*0.00272/$C$44*(24*'Ввод исходных данных'!D246)</f>
        <v>663.38584706474592</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1894.8935944409172</v>
      </c>
      <c r="H40" s="141">
        <f>'Расчет базового уровня'!R35/('Ввод исходных данных'!$D$177-'Ввод исходных данных'!$D$178)/4.2*3.6</f>
        <v>805.84291258098597</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587.31562033381078</v>
      </c>
      <c r="O40" s="141">
        <f>'Расчет базового уровня'!AM35/('Ввод исходных данных'!$D$177-'Ввод исходных данных'!$D$178)/4.2*3.6</f>
        <v>1634.7136775311076</v>
      </c>
      <c r="P40" s="141">
        <f>'Расчет базового уровня'!AP35/('Ввод исходных данных'!$D$177-'Ввод исходных данных'!$D$178)/4.2*3.6</f>
        <v>2148.9805756664596</v>
      </c>
    </row>
    <row r="41" spans="1:23" ht="22.5" customHeight="1" x14ac:dyDescent="0.3">
      <c r="A41" s="142" t="s">
        <v>1388</v>
      </c>
      <c r="B41" s="134" t="s">
        <v>494</v>
      </c>
      <c r="C41" s="143">
        <f>'Расчет базового уровня'!C35/('Ввод исходных данных'!D177-'Ввод исходных данных'!D178)/4.2*3.6</f>
        <v>11858.497193862902</v>
      </c>
      <c r="D41" s="136" t="s">
        <v>877</v>
      </c>
      <c r="E41" s="141">
        <f>'Расчет базового уровня'!I35/('Ввод исходных данных'!$D$177-'Ввод исходных данных'!$D$178)/4.2*3.6</f>
        <v>2366.7694167169243</v>
      </c>
      <c r="F41" s="141">
        <f>'Расчет базового уровня'!L35/('Ввод исходных данных'!$D$177-'Ввод исходных данных'!$D$178)/4.2*3.6</f>
        <v>2083.0848535452769</v>
      </c>
      <c r="G41" s="144">
        <f>'Расчет после реализации'!N35/('Ввод исходных данных'!$D$177-'Ввод исходных данных'!$D$178)/4.2*3.6</f>
        <v>441.42437334987471</v>
      </c>
      <c r="H41" s="144">
        <f>'Расчет после реализации'!P35/('Ввод исходных данных'!$D$177-'Ввод исходных данных'!$D$178)/4.2*3.6</f>
        <v>-108.49678161057966</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1020.8860011998077</v>
      </c>
      <c r="O41" s="144">
        <f>'Расчет после реализации'!AD35/('Ввод исходных данных'!$D$177-'Ввод исходных данных'!$D$178)/4.2*3.6</f>
        <v>1552.1654116590973</v>
      </c>
      <c r="P41" s="144">
        <f>'Расчет после реализации'!AF35/('Ввод исходных данных'!$D$177-'Ввод исходных данных'!$D$178)/4.2*3.6</f>
        <v>1732.113285938299</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10545.048931088602</v>
      </c>
      <c r="D42" s="147"/>
      <c r="E42" s="144">
        <f>'Расчет после реализации'!J35/('Ввод исходных данных'!$D$177-'Ввод исходных данных'!$D$178)/4.2*3.6</f>
        <v>2221.6386626113617</v>
      </c>
      <c r="F42" s="144">
        <f>'Расчет после реализации'!L35/('Ввод исходных данных'!$D$177-'Ввод исходных данных'!$D$178)/4.2*3.6</f>
        <v>1830.2602598757314</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73.630151098275661</v>
      </c>
      <c r="H46" s="157">
        <f t="shared" si="0"/>
        <v>31.312753174575455</v>
      </c>
      <c r="I46" s="157">
        <f t="shared" si="0"/>
        <v>0</v>
      </c>
      <c r="J46" s="157">
        <f t="shared" si="0"/>
        <v>0</v>
      </c>
      <c r="K46" s="157">
        <f t="shared" si="0"/>
        <v>0</v>
      </c>
      <c r="L46" s="157">
        <f t="shared" si="0"/>
        <v>0</v>
      </c>
      <c r="M46" s="157">
        <f t="shared" si="0"/>
        <v>0</v>
      </c>
      <c r="N46" s="157">
        <f t="shared" si="0"/>
        <v>22.821406961542365</v>
      </c>
      <c r="O46" s="157">
        <f t="shared" si="0"/>
        <v>63.520302898351623</v>
      </c>
      <c r="P46" s="157">
        <f t="shared" si="0"/>
        <v>83.50324522589672</v>
      </c>
    </row>
    <row r="47" spans="1:23" x14ac:dyDescent="0.3">
      <c r="A47" s="158" t="s">
        <v>1388</v>
      </c>
      <c r="B47" s="134" t="s">
        <v>842</v>
      </c>
      <c r="C47" s="157">
        <f>0.00272*C41*10/$C$44</f>
        <v>460.78731953295863</v>
      </c>
      <c r="D47" s="159"/>
      <c r="E47" s="157">
        <f>0.00272*E41*10/$C$44</f>
        <v>91.965897335286201</v>
      </c>
      <c r="F47" s="157">
        <f>0.00272*F41*10/$C$44</f>
        <v>80.942725737759346</v>
      </c>
      <c r="G47" s="157">
        <f t="shared" ref="G47:P47" si="1">0.00272*G41*10/$C$44</f>
        <v>17.152489935880848</v>
      </c>
      <c r="H47" s="157">
        <f t="shared" si="1"/>
        <v>-4.2158749425825244</v>
      </c>
      <c r="I47" s="157">
        <f t="shared" si="1"/>
        <v>0</v>
      </c>
      <c r="J47" s="157">
        <f t="shared" si="1"/>
        <v>0</v>
      </c>
      <c r="K47" s="157">
        <f t="shared" si="1"/>
        <v>0</v>
      </c>
      <c r="L47" s="157">
        <f t="shared" si="1"/>
        <v>0</v>
      </c>
      <c r="M47" s="157">
        <f t="shared" si="1"/>
        <v>0</v>
      </c>
      <c r="N47" s="157">
        <f t="shared" si="1"/>
        <v>39.66871318947824</v>
      </c>
      <c r="O47" s="157">
        <f t="shared" si="1"/>
        <v>60.312713138753502</v>
      </c>
      <c r="P47" s="157">
        <f t="shared" si="1"/>
        <v>67.30497339645963</v>
      </c>
    </row>
    <row r="48" spans="1:23" ht="26.4" x14ac:dyDescent="0.3">
      <c r="A48" s="156" t="s">
        <v>1608</v>
      </c>
      <c r="B48" s="134"/>
      <c r="C48" s="157">
        <f>0.00272*C42*10/$C$44</f>
        <v>409.7504727508715</v>
      </c>
      <c r="D48" s="159"/>
      <c r="E48" s="157">
        <f>0.00272*E42*10/$C$44</f>
        <v>86.326530890041496</v>
      </c>
      <c r="F48" s="157">
        <f>0.00272*F42*10/$C$44</f>
        <v>71.118684383742718</v>
      </c>
      <c r="G48" s="160">
        <f>$C$35*$C$43*0.00272/$C$44*(24*'Расчет после реализации'!I146)</f>
        <v>98.913298351493083</v>
      </c>
      <c r="H48" s="160">
        <f>$C$35*$C$43*0.00272/$C$44*(24*'Расчет после реализации'!J146)</f>
        <v>47.86127339588375</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79.76878899313958</v>
      </c>
      <c r="O48" s="160">
        <f>$C$35*$C$43*0.00272/$C$44*(24*'Расчет после реализации'!Q146)</f>
        <v>95.722546791767499</v>
      </c>
      <c r="P48" s="160">
        <f>$C$35*$C$43*0.00272/$C$44*(24*'Расчет после реализации'!R146)</f>
        <v>98.913298351493083</v>
      </c>
      <c r="Q48" s="99"/>
    </row>
    <row r="49" spans="1:17" x14ac:dyDescent="0.3">
      <c r="A49" s="158" t="s">
        <v>1388</v>
      </c>
      <c r="B49" s="134" t="s">
        <v>842</v>
      </c>
      <c r="C49" s="160">
        <f>C35*6*0.00272/$C$44*(24*'Ввод исходных данных'!D246)</f>
        <v>609.43354790758644</v>
      </c>
      <c r="D49" s="161"/>
      <c r="E49" s="160">
        <f>$C$35*$C$43*0.00272/$C$44*(24*'Расчет после реализации'!G146)</f>
        <v>98.913298351493083</v>
      </c>
      <c r="F49" s="160">
        <f>$C$35*$C$43*0.00272/$C$44*(24*'Расчет после реализации'!H146)</f>
        <v>89.341043672316331</v>
      </c>
      <c r="G49" s="162">
        <f>$D$35*$C$43*0.00272/$C$44*(24*'Расчет после реализации'!I146)</f>
        <v>107.66995423563938</v>
      </c>
      <c r="H49" s="162">
        <f>$D$35*$C$43*0.00272/$C$44*(24*'Расчет после реализации'!J146)</f>
        <v>52.098364952728737</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86.830608254547897</v>
      </c>
      <c r="O49" s="162">
        <f>$D$35*$C$43*0.00272/$C$44*(24*'Расчет после реализации'!Q146)</f>
        <v>104.19672990545747</v>
      </c>
      <c r="P49" s="162">
        <f>$D$35*$C$43*0.00272/$C$44*(24*'Расчет после реализации'!R146)</f>
        <v>107.66995423563938</v>
      </c>
      <c r="Q49" s="99"/>
    </row>
    <row r="50" spans="1:17" x14ac:dyDescent="0.3">
      <c r="A50" s="158" t="s">
        <v>1609</v>
      </c>
      <c r="B50" s="163"/>
      <c r="C50" s="164">
        <f>D35*$C$43*0.00272/$C$44*(24*'Ввод исходных данных'!D246)</f>
        <v>663.38584706474592</v>
      </c>
      <c r="D50" s="165"/>
      <c r="E50" s="162">
        <f>$D$35*$C$43*0.00272/$C$44*(24*'Расчет после реализации'!G146)</f>
        <v>107.66995423563938</v>
      </c>
      <c r="F50" s="162">
        <f>$D$35*$C$43*0.00272/$C$44*(24*'Расчет после реализации'!H146)</f>
        <v>97.250281245093646</v>
      </c>
      <c r="G50" s="166">
        <f>IF('Список мероприятий'!$D$33=списки!$N$46,'Система электроснабжения'!G49,'Система электроснабжения'!G47)*IF('Список мероприятий'!AF44=1,0.9,1)*IF('Список мероприятий'!$AB$52=1,0.9572,1)</f>
        <v>107.66995423563938</v>
      </c>
      <c r="H50" s="166">
        <f>IF('Список мероприятий'!$D$33=списки!$N$46,'Система электроснабжения'!H49,'Система электроснабжения'!H47)*IF('Список мероприятий'!AG44=1,0.9,1)*IF('Список мероприятий'!$AB$52=1,0.9572,1)</f>
        <v>52.098364952728737</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86.830608254547897</v>
      </c>
      <c r="O50" s="166">
        <f>IF('Список мероприятий'!$D$33=списки!$N$46,'Система электроснабжения'!O49,'Система электроснабжения'!O47)*IF('Список мероприятий'!AN44=1,0.9,1)*IF('Список мероприятий'!$AB$52=1,0.9572,1)</f>
        <v>104.19672990545747</v>
      </c>
      <c r="P50" s="166">
        <f>IF('Список мероприятий'!$D$33=списки!$N$46,'Система электроснабжения'!P49,'Система электроснабжения'!P47)*IF('Список мероприятий'!AO44=1,0.9,1)*IF('Список мероприятий'!$AB$52=1,0.9572,1)</f>
        <v>107.66995423563938</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663.38584706474592</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107.66995423563938</v>
      </c>
      <c r="F51" s="166">
        <f>IF('Список мероприятий'!$D$33=списки!$N$46,'Система электроснабжения'!F50,'Система электроснабжения'!F48)*IF('Список мероприятий'!AE44=1,0.9,1)*IF('Список мероприятий'!$AB$52=1,0.9572,1)</f>
        <v>97.250281245093646</v>
      </c>
      <c r="K51" s="94"/>
    </row>
    <row r="52" spans="1:17" ht="34.5" customHeight="1" x14ac:dyDescent="0.3">
      <c r="A52" s="152" t="s">
        <v>1450</v>
      </c>
      <c r="B52" s="131"/>
      <c r="C52" s="131"/>
      <c r="D52" s="132"/>
      <c r="G52" s="167">
        <f>G55*'Система электроснабжения'!$C$55</f>
        <v>2.1541056561713701</v>
      </c>
      <c r="H52" s="167">
        <f>H55*'Система электроснабжения'!$C$55</f>
        <v>1.9386950905542333</v>
      </c>
      <c r="I52" s="167">
        <f>I55*'Система электроснабжения'!$C$55</f>
        <v>1.9386950905542333</v>
      </c>
      <c r="J52" s="167">
        <f>J55*'Система электроснабжения'!$C$55</f>
        <v>1.9386950905542333</v>
      </c>
      <c r="K52" s="167">
        <f>K55*'Система электроснабжения'!$C$55</f>
        <v>1.9386950905542333</v>
      </c>
      <c r="L52" s="167">
        <f>L55*'Система электроснабжения'!$C$55</f>
        <v>1.9386950905542333</v>
      </c>
      <c r="M52" s="167">
        <f>M55*'Система электроснабжения'!$C$55</f>
        <v>1.9386950905542333</v>
      </c>
      <c r="N52" s="167">
        <f>N55*'Система электроснабжения'!$C$55</f>
        <v>1.9386950905542333</v>
      </c>
      <c r="O52" s="167">
        <f>O55*'Система электроснабжения'!$C$55</f>
        <v>2.1541056561713701</v>
      </c>
      <c r="P52" s="167">
        <f>P55*'Система электроснабжения'!$C$55</f>
        <v>2.1541056561713701</v>
      </c>
    </row>
    <row r="53" spans="1:17" s="171" customFormat="1" ht="19.5" customHeight="1" x14ac:dyDescent="0.3">
      <c r="A53" s="168" t="s">
        <v>1348</v>
      </c>
      <c r="B53" s="169" t="s">
        <v>885</v>
      </c>
      <c r="C53" s="167">
        <f>'Расчет базового уровня'!D171*'Система электроснабжения'!$C$55</f>
        <v>2.1541056561713701</v>
      </c>
      <c r="D53" s="95"/>
      <c r="E53" s="167">
        <f>E56*'Система электроснабжения'!$C$55</f>
        <v>2.1541056561713701</v>
      </c>
      <c r="F53" s="167">
        <f>F56*'Система электроснабжения'!$C$55</f>
        <v>2.1541056561713701</v>
      </c>
      <c r="G53" s="170">
        <f>G56*'Система электроснабжения'!$C$55</f>
        <v>2.1541056561713701</v>
      </c>
      <c r="H53" s="170">
        <f>H56*'Система электроснабжения'!$C$55</f>
        <v>1.9386950905542333</v>
      </c>
      <c r="I53" s="170">
        <f>I56*'Система электроснабжения'!$C$55</f>
        <v>1.9386950905542333</v>
      </c>
      <c r="J53" s="170">
        <f>J56*'Система электроснабжения'!$C$55</f>
        <v>1.9386950905542333</v>
      </c>
      <c r="K53" s="170">
        <f>K56*'Система электроснабжения'!$C$55</f>
        <v>1.9386950905542333</v>
      </c>
      <c r="L53" s="170">
        <f>L56*'Система электроснабжения'!$C$55</f>
        <v>1.9386950905542333</v>
      </c>
      <c r="M53" s="170">
        <f>M56*'Система электроснабжения'!$C$55</f>
        <v>1.9386950905542333</v>
      </c>
      <c r="N53" s="170">
        <f>N56*'Система электроснабжения'!$C$55</f>
        <v>1.9386950905542333</v>
      </c>
      <c r="O53" s="170">
        <f>O56*'Система электроснабжения'!$C$55</f>
        <v>2.1541056561713701</v>
      </c>
      <c r="P53" s="170">
        <f>P56*'Система электроснабжения'!$C$55</f>
        <v>2.1541056561713701</v>
      </c>
    </row>
    <row r="54" spans="1:17" ht="30.75" customHeight="1" x14ac:dyDescent="0.3">
      <c r="A54" s="172" t="s">
        <v>893</v>
      </c>
      <c r="B54" s="173"/>
      <c r="C54" s="174">
        <f>C57*'Система электроснабжения'!C55</f>
        <v>2.1521971160152824</v>
      </c>
      <c r="D54" s="175"/>
      <c r="E54" s="170">
        <f>E57*'Система электроснабжения'!$C$55</f>
        <v>2.1541056561713701</v>
      </c>
      <c r="F54" s="170">
        <f>F57*'Система электроснабжения'!$C$55</f>
        <v>2.1541056561713701</v>
      </c>
      <c r="K54" s="176"/>
      <c r="L54" s="177"/>
      <c r="M54" s="177"/>
      <c r="N54" s="177"/>
      <c r="O54" s="177"/>
      <c r="P54" s="177"/>
    </row>
    <row r="55" spans="1:17" ht="30.75" customHeight="1" x14ac:dyDescent="0.3">
      <c r="A55" s="172"/>
      <c r="B55" s="169"/>
      <c r="C55" s="178">
        <f>11.96*('Ввод исходных данных'!$D$22^(-0.181))</f>
        <v>5.1690132090811689</v>
      </c>
      <c r="D55" s="95"/>
      <c r="E55" s="177"/>
      <c r="F55" s="177"/>
      <c r="G55" s="179">
        <f>'Расчет базового уровня'!I171</f>
        <v>0.41673440733077149</v>
      </c>
      <c r="H55" s="179">
        <f>'Расчет базового уровня'!J171</f>
        <v>0.37506096659769439</v>
      </c>
      <c r="I55" s="179">
        <f>'Расчет базового уровня'!K171</f>
        <v>0.37506096659769439</v>
      </c>
      <c r="J55" s="179">
        <f>'Расчет базового уровня'!L171</f>
        <v>0.37506096659769439</v>
      </c>
      <c r="K55" s="179">
        <f>'Расчет базового уровня'!M171</f>
        <v>0.37506096659769439</v>
      </c>
      <c r="L55" s="179">
        <f>'Расчет базового уровня'!N171</f>
        <v>0.37506096659769439</v>
      </c>
      <c r="M55" s="179">
        <f>'Расчет базового уровня'!O171</f>
        <v>0.37506096659769439</v>
      </c>
      <c r="N55" s="179">
        <f>'Расчет базового уровня'!P171</f>
        <v>0.37506096659769439</v>
      </c>
      <c r="O55" s="179">
        <f>'Расчет базового уровня'!Q171</f>
        <v>0.41673440733077149</v>
      </c>
      <c r="P55" s="179">
        <f>'Расчет базового уровня'!R171</f>
        <v>0.41673440733077149</v>
      </c>
    </row>
    <row r="56" spans="1:17" s="171" customFormat="1" ht="16.5" customHeight="1" x14ac:dyDescent="0.3">
      <c r="A56" s="180" t="s">
        <v>1451</v>
      </c>
      <c r="B56" s="169"/>
      <c r="C56" s="178"/>
      <c r="D56" s="95"/>
      <c r="E56" s="179">
        <f>'Расчет базового уровня'!G171</f>
        <v>0.41673440733077149</v>
      </c>
      <c r="F56" s="179">
        <f>'Расчет базового уровня'!H171</f>
        <v>0.41673440733077149</v>
      </c>
      <c r="G56" s="181">
        <f>'Расчет после реализации'!I169</f>
        <v>0.41673440733077149</v>
      </c>
      <c r="H56" s="181">
        <f>'Расчет после реализации'!J169</f>
        <v>0.37506096659769439</v>
      </c>
      <c r="I56" s="181">
        <f>'Расчет после реализации'!K169</f>
        <v>0.37506096659769439</v>
      </c>
      <c r="J56" s="181">
        <f>'Расчет после реализации'!L169</f>
        <v>0.37506096659769439</v>
      </c>
      <c r="K56" s="181">
        <f>'Расчет после реализации'!M169</f>
        <v>0.37506096659769439</v>
      </c>
      <c r="L56" s="181">
        <f>'Расчет после реализации'!N169</f>
        <v>0.37506096659769439</v>
      </c>
      <c r="M56" s="181">
        <f>'Расчет после реализации'!O169</f>
        <v>0.37506096659769439</v>
      </c>
      <c r="N56" s="181">
        <f>'Расчет после реализации'!P169</f>
        <v>0.37506096659769439</v>
      </c>
      <c r="O56" s="181">
        <f>'Расчет после реализации'!Q169</f>
        <v>0.41673440733077149</v>
      </c>
      <c r="P56" s="181">
        <f>'Расчет после реализации'!R169</f>
        <v>0.41673440733077149</v>
      </c>
    </row>
    <row r="57" spans="1:17" ht="24" customHeight="1" x14ac:dyDescent="0.3">
      <c r="A57" s="148" t="s">
        <v>886</v>
      </c>
      <c r="B57" s="173"/>
      <c r="C57" s="182">
        <f>'Расчет после реализации'!D169</f>
        <v>0.4163651801535736</v>
      </c>
      <c r="D57" s="175"/>
      <c r="E57" s="181">
        <f>'Расчет после реализации'!G169</f>
        <v>0.41673440733077149</v>
      </c>
      <c r="F57" s="181">
        <f>'Расчет после реализации'!H169</f>
        <v>0.41673440733077149</v>
      </c>
    </row>
    <row r="58" spans="1:17" ht="36" x14ac:dyDescent="0.3">
      <c r="A58" s="172" t="s">
        <v>888</v>
      </c>
      <c r="B58" s="110"/>
      <c r="C58" s="183">
        <v>0.1</v>
      </c>
      <c r="D58" s="184" t="s">
        <v>887</v>
      </c>
      <c r="G58" s="143">
        <f t="shared" ref="G58:P58" si="2">G52*(1+$C$58)</f>
        <v>2.3695162217885071</v>
      </c>
      <c r="H58" s="143">
        <f t="shared" si="2"/>
        <v>2.1325645996096569</v>
      </c>
      <c r="I58" s="143">
        <f t="shared" si="2"/>
        <v>2.1325645996096569</v>
      </c>
      <c r="J58" s="143">
        <f t="shared" si="2"/>
        <v>2.1325645996096569</v>
      </c>
      <c r="K58" s="143">
        <f t="shared" si="2"/>
        <v>2.1325645996096569</v>
      </c>
      <c r="L58" s="143">
        <f t="shared" si="2"/>
        <v>2.1325645996096569</v>
      </c>
      <c r="M58" s="143">
        <f t="shared" si="2"/>
        <v>2.1325645996096569</v>
      </c>
      <c r="N58" s="143">
        <f t="shared" si="2"/>
        <v>2.1325645996096569</v>
      </c>
      <c r="O58" s="143">
        <f t="shared" si="2"/>
        <v>2.3695162217885071</v>
      </c>
      <c r="P58" s="143">
        <f t="shared" si="2"/>
        <v>2.3695162217885071</v>
      </c>
    </row>
    <row r="59" spans="1:17" s="171" customFormat="1" x14ac:dyDescent="0.3">
      <c r="A59" s="168" t="s">
        <v>1348</v>
      </c>
      <c r="B59" s="169" t="s">
        <v>885</v>
      </c>
      <c r="C59" s="143">
        <f>C53*(1+C$58)</f>
        <v>2.3695162217885071</v>
      </c>
      <c r="D59" s="95"/>
      <c r="E59" s="143">
        <f>E53*(1+$C$58)</f>
        <v>2.3695162217885071</v>
      </c>
      <c r="F59" s="143">
        <f>F53*(1+$C$58)</f>
        <v>2.3695162217885071</v>
      </c>
      <c r="G59" s="144">
        <f t="shared" ref="G59:P59" si="3">G53*(1+$C$58)</f>
        <v>2.3695162217885071</v>
      </c>
      <c r="H59" s="144">
        <f t="shared" si="3"/>
        <v>2.1325645996096569</v>
      </c>
      <c r="I59" s="144">
        <f t="shared" si="3"/>
        <v>2.1325645996096569</v>
      </c>
      <c r="J59" s="144">
        <f t="shared" si="3"/>
        <v>2.1325645996096569</v>
      </c>
      <c r="K59" s="144">
        <f t="shared" si="3"/>
        <v>2.1325645996096569</v>
      </c>
      <c r="L59" s="144">
        <f t="shared" si="3"/>
        <v>2.1325645996096569</v>
      </c>
      <c r="M59" s="144">
        <f t="shared" si="3"/>
        <v>2.1325645996096569</v>
      </c>
      <c r="N59" s="144">
        <f t="shared" si="3"/>
        <v>2.1325645996096569</v>
      </c>
      <c r="O59" s="144">
        <f t="shared" si="3"/>
        <v>2.3695162217885071</v>
      </c>
      <c r="P59" s="144">
        <f t="shared" si="3"/>
        <v>2.3695162217885071</v>
      </c>
    </row>
    <row r="60" spans="1:17" x14ac:dyDescent="0.3">
      <c r="A60" s="145" t="s">
        <v>878</v>
      </c>
      <c r="B60" s="173"/>
      <c r="C60" s="144">
        <f>C54*(1+C$58)</f>
        <v>2.367416827616811</v>
      </c>
      <c r="D60" s="175"/>
      <c r="E60" s="144">
        <f>E54*(1+$C$58)</f>
        <v>2.3695162217885071</v>
      </c>
      <c r="F60" s="144">
        <f>F54*(1+$C$58)</f>
        <v>2.3695162217885071</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504</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8520</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68.502036967270953</v>
      </c>
      <c r="H64" s="185">
        <f>0.00272*H58*$C$61*H61/($C$63*$C$64)</f>
        <v>59.663064455365046</v>
      </c>
      <c r="I64" s="185">
        <f>0.00272*I58*$C$61*I61/($C$63*$C$64)</f>
        <v>61.651833270543875</v>
      </c>
      <c r="J64" s="185">
        <f>0.00272*J58*$C$61*J61/($C$63*$C$64)</f>
        <v>59.663064455365046</v>
      </c>
      <c r="K64" s="185">
        <f>0.00272*K58*$C$61*K61/($C$63*$C$64)</f>
        <v>41.764145118755529</v>
      </c>
      <c r="L64" s="185">
        <f t="shared" ref="L64:P64" si="4">0.00272*L58*$C$61*L61/($C$63*$C$64)</f>
        <v>61.651833270543875</v>
      </c>
      <c r="M64" s="185">
        <f t="shared" si="4"/>
        <v>59.663064455365046</v>
      </c>
      <c r="N64" s="185">
        <f t="shared" si="4"/>
        <v>61.651833270543875</v>
      </c>
      <c r="O64" s="185">
        <f t="shared" si="4"/>
        <v>66.292293839294473</v>
      </c>
      <c r="P64" s="185">
        <f t="shared" si="4"/>
        <v>68.502036967270953</v>
      </c>
    </row>
    <row r="65" spans="1:16" s="171" customFormat="1" ht="27.9" customHeight="1" x14ac:dyDescent="0.3">
      <c r="A65" s="186" t="s">
        <v>1349</v>
      </c>
      <c r="B65" s="134" t="s">
        <v>842</v>
      </c>
      <c r="C65" s="185">
        <f>0.00272*C59*C61*C62/(C63*C64)</f>
        <v>784.45881043165127</v>
      </c>
      <c r="D65" s="95"/>
      <c r="E65" s="185">
        <f>0.00272*E59*$C$61*E62/($C$63*$C$64)</f>
        <v>68.502036967270953</v>
      </c>
      <c r="F65" s="185">
        <f>0.00272*F59*$C$61*F62/($C$63*$C$64)</f>
        <v>61.872807583341505</v>
      </c>
      <c r="G65" s="187">
        <f>0.00272*G59*$C$61*G61/(C63*C64)*IF('Список мероприятий'!AB44=1,0.9,1)*IF('Список мероприятий'!AB52=1,0.9572,1)</f>
        <v>68.502036967270953</v>
      </c>
      <c r="H65" s="187">
        <f>0.00272*H59*$C$61*H61/(C63*C64)*IF('Список мероприятий'!AB44=1,0.9,1)*IF('Список мероприятий'!AB52=1,0.9572,1)</f>
        <v>59.663064455365046</v>
      </c>
      <c r="I65" s="187">
        <f>0.00272*I59*$C$61*I61/(C63*C64)*IF('Список мероприятий'!AB44=1,0.9,1)*IF('Список мероприятий'!AB52=1,0.9572,1)</f>
        <v>61.651833270543875</v>
      </c>
      <c r="J65" s="187">
        <f>0.00272*J59*$C$61*J61/(C63*C64)*IF('Список мероприятий'!AB44=1,0.9,1)*IF('Список мероприятий'!AB52=1,0.9572,1)</f>
        <v>59.663064455365046</v>
      </c>
      <c r="K65" s="187">
        <f>0.00272*K59*$C$61*K61/(C63*C64)*IF('Список мероприятий'!AB44=1,0.9,1)*IF('Список мероприятий'!AB52=1,0.9572,1)</f>
        <v>41.764145118755529</v>
      </c>
      <c r="L65" s="187">
        <f>0.00272*L59*$C$61*L61/(C63*C64)*IF('Список мероприятий'!AB44=1,0.9,1)*IF('Список мероприятий'!AB52=1,0.9572,1)</f>
        <v>61.651833270543875</v>
      </c>
      <c r="M65" s="187">
        <f>0.00272*M59*$C$61*M61/(C63*C64)*IF('Список мероприятий'!AB44=1,0.9,1)*IF('Список мероприятий'!AB52=1,0.9572,1)</f>
        <v>59.663064455365046</v>
      </c>
      <c r="N65" s="187">
        <f>0.00272*N59*$C$61*N61/(C63*C64)*IF('Список мероприятий'!AB44=1,0.9,1)*IF('Список мероприятий'!AB52=1,0.9572,1)</f>
        <v>61.651833270543875</v>
      </c>
      <c r="O65" s="187">
        <f>0.00272*O59*$C$61*O61/(C63*C64)*IF('Список мероприятий'!AB44=1,0.9,1)*IF('Список мероприятий'!AB52=1,0.9572,1)</f>
        <v>66.292293839294473</v>
      </c>
      <c r="P65" s="187">
        <f>0.00272*P59*$C$61*P61/(C63*C64)*IF('Список мероприятий'!AB44=1,0.9,1)*IF('Список мероприятий'!AB52=1,0.9572,1)</f>
        <v>68.502036967270953</v>
      </c>
    </row>
    <row r="66" spans="1:16" ht="27.9" customHeight="1" x14ac:dyDescent="0.3">
      <c r="A66" s="100" t="s">
        <v>974</v>
      </c>
      <c r="B66" s="188"/>
      <c r="C66" s="189">
        <f>0.00272*C60*C61*C62/(C63*C64)*IF('Список мероприятий'!AB44=1,0.9,1)*IF('Список мероприятий'!AB52=1,0.9572,1)</f>
        <v>783.76377899890053</v>
      </c>
      <c r="D66" s="190"/>
      <c r="E66" s="187">
        <f>0.00272*E60*$C$61*E62/(C63*C64)*IF('Список мероприятий'!AB44=1,0.9,1)*IF('Список мероприятий'!AB52=1,0.9572,1)</f>
        <v>68.502036967270953</v>
      </c>
      <c r="F66" s="187">
        <f>0.00272*F60*$C$61*F62/(C63*C64)*IF('Список мероприятий'!AB44=1,0.9,1)*IF('Список мероприятий'!AB52=1,0.9572,1)</f>
        <v>61.872807583341505</v>
      </c>
      <c r="G66" s="100"/>
    </row>
    <row r="67" spans="1:16" x14ac:dyDescent="0.3">
      <c r="A67" s="90" t="s">
        <v>892</v>
      </c>
      <c r="B67" s="100"/>
      <c r="C67" s="100"/>
      <c r="D67" s="100"/>
      <c r="E67" s="100"/>
      <c r="F67" s="100"/>
    </row>
    <row r="68" spans="1:16" x14ac:dyDescent="0.3">
      <c r="A68" s="1879" t="s">
        <v>834</v>
      </c>
      <c r="B68" s="91"/>
      <c r="C68" s="92"/>
      <c r="D68" s="93"/>
      <c r="E68" s="94"/>
      <c r="G68" s="129"/>
    </row>
    <row r="69" spans="1:16" x14ac:dyDescent="0.3">
      <c r="A69" s="1879"/>
      <c r="B69" s="1879" t="s">
        <v>835</v>
      </c>
      <c r="C69" s="129" t="s">
        <v>754</v>
      </c>
      <c r="D69" s="129"/>
      <c r="E69" s="129"/>
      <c r="F69" s="129"/>
      <c r="G69" s="191" t="s">
        <v>840</v>
      </c>
    </row>
    <row r="70" spans="1:16" ht="52.8" x14ac:dyDescent="0.3">
      <c r="A70" s="192" t="s">
        <v>841</v>
      </c>
      <c r="B70" s="1879"/>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3" t="s">
        <v>580</v>
      </c>
      <c r="B87" s="205"/>
      <c r="C87" s="203" t="s">
        <v>579</v>
      </c>
      <c r="D87" s="75">
        <v>2920</v>
      </c>
      <c r="E87" s="75">
        <v>120</v>
      </c>
    </row>
    <row r="88" spans="1:5" ht="46.8" x14ac:dyDescent="0.3">
      <c r="A88" s="1874"/>
      <c r="B88" s="204" t="s">
        <v>581</v>
      </c>
      <c r="C88" s="203" t="s">
        <v>579</v>
      </c>
      <c r="D88" s="75">
        <v>8760</v>
      </c>
      <c r="E88" s="75">
        <v>240</v>
      </c>
    </row>
    <row r="89" spans="1:5" ht="15.6" x14ac:dyDescent="0.3">
      <c r="A89" s="1874"/>
      <c r="B89" s="204" t="s">
        <v>582</v>
      </c>
      <c r="C89" s="203"/>
    </row>
    <row r="90" spans="1:5" ht="31.2" x14ac:dyDescent="0.3">
      <c r="A90" s="1874"/>
      <c r="B90" s="204" t="s">
        <v>583</v>
      </c>
      <c r="C90" s="203" t="s">
        <v>579</v>
      </c>
      <c r="D90" s="75">
        <v>300</v>
      </c>
    </row>
    <row r="91" spans="1:5" ht="46.8" x14ac:dyDescent="0.3">
      <c r="A91" s="1875"/>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3">
      <c r="H2" s="84"/>
      <c r="I2" s="84"/>
      <c r="J2" s="84"/>
      <c r="K2" s="84"/>
      <c r="L2" s="84"/>
      <c r="M2" s="84"/>
      <c r="N2" s="84"/>
      <c r="O2" s="84"/>
      <c r="P2" s="84"/>
      <c r="Q2" s="84"/>
    </row>
    <row r="3" spans="1:59" x14ac:dyDescent="0.3">
      <c r="A3" s="1885" t="s">
        <v>1463</v>
      </c>
      <c r="B3" s="1886" t="s">
        <v>919</v>
      </c>
      <c r="C3" s="1887" t="s">
        <v>1004</v>
      </c>
      <c r="D3" s="1887" t="s">
        <v>790</v>
      </c>
      <c r="F3" s="211">
        <v>1</v>
      </c>
      <c r="H3" s="84"/>
      <c r="I3" s="84"/>
      <c r="J3" s="84"/>
      <c r="K3" s="84"/>
      <c r="L3" s="84"/>
      <c r="M3" s="84"/>
      <c r="N3" s="84"/>
      <c r="O3" s="84"/>
      <c r="P3" s="84"/>
      <c r="Q3" s="84"/>
    </row>
    <row r="4" spans="1:59" x14ac:dyDescent="0.3">
      <c r="A4" s="1885"/>
      <c r="B4" s="1886"/>
      <c r="C4" s="1887"/>
      <c r="D4" s="1887"/>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3">
      <c r="H10" s="84"/>
      <c r="I10" s="84"/>
      <c r="J10" s="218"/>
      <c r="K10" s="219"/>
      <c r="L10" s="220"/>
      <c r="M10" s="84"/>
      <c r="N10" s="84"/>
      <c r="O10" s="84"/>
      <c r="P10" s="84"/>
      <c r="Q10" s="84"/>
    </row>
    <row r="11" spans="1:59" x14ac:dyDescent="0.3">
      <c r="B11" s="221">
        <f>IF(F14=1,1,0)</f>
        <v>0</v>
      </c>
      <c r="C11" s="221">
        <f>IF(F14=0,1,0)</f>
        <v>1</v>
      </c>
      <c r="H11" s="84"/>
      <c r="I11" s="84"/>
      <c r="J11" s="84"/>
      <c r="K11" s="84"/>
      <c r="L11" s="84"/>
      <c r="M11" s="84"/>
      <c r="N11" s="84"/>
      <c r="O11" s="84"/>
      <c r="P11" s="84"/>
      <c r="Q11" s="84"/>
    </row>
    <row r="12" spans="1:59" ht="15.6" x14ac:dyDescent="0.35">
      <c r="A12" s="1887" t="s">
        <v>791</v>
      </c>
      <c r="B12" s="1888" t="s">
        <v>797</v>
      </c>
      <c r="C12" s="1888"/>
      <c r="E12" s="75">
        <f>SUMPRODUCT(D14:D17,B14:B17)*B11+SUMPRODUCT(D14:D17,C14:C17)*C11</f>
        <v>0.2</v>
      </c>
      <c r="H12" s="84"/>
      <c r="I12" s="84"/>
      <c r="J12" s="84"/>
      <c r="K12" s="84"/>
      <c r="L12" s="84"/>
      <c r="M12" s="84"/>
      <c r="N12" s="84"/>
      <c r="O12" s="84"/>
      <c r="P12" s="84"/>
      <c r="Q12" s="84"/>
    </row>
    <row r="13" spans="1:59" ht="87.6" customHeight="1" x14ac:dyDescent="0.3">
      <c r="A13" s="1887"/>
      <c r="B13" s="222" t="s">
        <v>796</v>
      </c>
      <c r="C13" s="222" t="s">
        <v>1464</v>
      </c>
      <c r="F13" s="211"/>
      <c r="G13" s="211">
        <f>IF(F20=1,1,IF(F21=1,2,0))</f>
        <v>2</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0</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0</v>
      </c>
      <c r="E16" s="75" t="s">
        <v>730</v>
      </c>
      <c r="F16" s="211">
        <f t="shared" si="0"/>
        <v>0</v>
      </c>
      <c r="G16" s="211" t="b">
        <v>0</v>
      </c>
    </row>
    <row r="17" spans="1:11" ht="26.4" x14ac:dyDescent="0.3">
      <c r="A17" s="223" t="s">
        <v>795</v>
      </c>
      <c r="B17" s="224">
        <f>0.25</f>
        <v>0.25</v>
      </c>
      <c r="C17" s="224">
        <f>0.2</f>
        <v>0.2</v>
      </c>
      <c r="D17" s="75">
        <f>IF(AND($F$15=0,$F$16=0),1,0)</f>
        <v>1</v>
      </c>
      <c r="E17" s="75" t="s">
        <v>1381</v>
      </c>
      <c r="F17" s="211">
        <f t="shared" si="0"/>
        <v>1</v>
      </c>
      <c r="G17" s="211" t="b">
        <v>1</v>
      </c>
    </row>
    <row r="18" spans="1:11" x14ac:dyDescent="0.3">
      <c r="F18" s="211"/>
      <c r="G18" s="211">
        <v>3</v>
      </c>
    </row>
    <row r="19" spans="1:11" x14ac:dyDescent="0.3">
      <c r="E19" s="75" t="s">
        <v>1382</v>
      </c>
      <c r="F19" s="211">
        <f>IF($G$18=1,1,0)</f>
        <v>0</v>
      </c>
      <c r="G19" s="211"/>
    </row>
    <row r="20" spans="1:11" x14ac:dyDescent="0.3">
      <c r="E20" s="75" t="s">
        <v>1555</v>
      </c>
      <c r="F20" s="211">
        <f>IF($G$18=2,1,0)</f>
        <v>0</v>
      </c>
      <c r="G20" s="211"/>
    </row>
    <row r="21" spans="1:11" x14ac:dyDescent="0.3">
      <c r="E21" s="75" t="s">
        <v>1556</v>
      </c>
      <c r="F21" s="211">
        <f>IF($G$18=3,1,0)</f>
        <v>1</v>
      </c>
      <c r="G21" s="211"/>
    </row>
    <row r="30" spans="1:11" ht="15" thickBot="1" x14ac:dyDescent="0.35"/>
    <row r="31" spans="1:11" ht="16.2" thickBot="1" x14ac:dyDescent="0.35">
      <c r="A31" s="226" t="s">
        <v>728</v>
      </c>
      <c r="B31" s="1883" t="s">
        <v>554</v>
      </c>
      <c r="C31" s="1884"/>
      <c r="I31" s="227" t="s">
        <v>920</v>
      </c>
    </row>
    <row r="32" spans="1:11" ht="63" thickBot="1" x14ac:dyDescent="0.35">
      <c r="A32" s="228"/>
      <c r="B32" s="229" t="s">
        <v>555</v>
      </c>
      <c r="C32" s="230" t="s">
        <v>556</v>
      </c>
      <c r="I32" s="1880" t="s">
        <v>1465</v>
      </c>
      <c r="J32" s="1880"/>
      <c r="K32" s="1880"/>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81"/>
      <c r="K34" s="1882"/>
    </row>
    <row r="35" spans="1:15" ht="31.8" thickBot="1" x14ac:dyDescent="0.35">
      <c r="A35" s="231" t="s">
        <v>558</v>
      </c>
      <c r="B35" s="229">
        <v>0.35</v>
      </c>
      <c r="C35" s="229">
        <v>0.3</v>
      </c>
      <c r="D35" s="229">
        <f>IF((G15=FALSE)*AND(G16=TRUE)*AND(G14=TRUE),1,0)</f>
        <v>0</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14" width="3.33203125" style="75" hidden="1" customWidth="1"/>
    <col min="15"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1866</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42794</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1</v>
      </c>
      <c r="D31" s="95">
        <f t="shared" ref="D31:D48" si="0">IF(C31=TRUE,1,0)</f>
        <v>1</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0</v>
      </c>
      <c r="D34" s="95">
        <f t="shared" si="0"/>
        <v>0</v>
      </c>
      <c r="F34" s="255" t="s">
        <v>202</v>
      </c>
      <c r="G34" s="256">
        <v>34</v>
      </c>
      <c r="J34" s="257" t="s">
        <v>13</v>
      </c>
      <c r="K34" s="258" t="s">
        <v>26</v>
      </c>
      <c r="N34" s="75" t="s">
        <v>1259</v>
      </c>
    </row>
    <row r="35" spans="2:25" ht="15.6" x14ac:dyDescent="0.3">
      <c r="B35" s="98" t="s">
        <v>1389</v>
      </c>
      <c r="C35" s="273" t="b">
        <v>0</v>
      </c>
      <c r="D35" s="98">
        <f t="shared" si="0"/>
        <v>0</v>
      </c>
      <c r="F35" s="250" t="s">
        <v>618</v>
      </c>
      <c r="G35" s="251">
        <v>35</v>
      </c>
      <c r="J35" s="257" t="s">
        <v>13</v>
      </c>
      <c r="K35" s="258" t="s">
        <v>21</v>
      </c>
      <c r="N35" s="75" t="s">
        <v>1260</v>
      </c>
      <c r="R35" s="248"/>
    </row>
    <row r="36" spans="2:25" ht="15.6" x14ac:dyDescent="0.3">
      <c r="B36" s="98" t="s">
        <v>1390</v>
      </c>
      <c r="C36" s="273" t="b">
        <v>0</v>
      </c>
      <c r="D36" s="98">
        <f t="shared" si="0"/>
        <v>0</v>
      </c>
      <c r="F36" s="255" t="s">
        <v>67</v>
      </c>
      <c r="G36" s="256">
        <v>36</v>
      </c>
      <c r="J36" s="257" t="s">
        <v>36</v>
      </c>
      <c r="K36" s="258" t="s">
        <v>37</v>
      </c>
      <c r="N36" s="75" t="s">
        <v>1264</v>
      </c>
      <c r="R36" s="253"/>
    </row>
    <row r="37" spans="2:25" ht="15.6" x14ac:dyDescent="0.3">
      <c r="B37" s="98" t="s">
        <v>1391</v>
      </c>
      <c r="C37" s="273" t="b">
        <v>0</v>
      </c>
      <c r="D37" s="98">
        <f t="shared" si="0"/>
        <v>0</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0</v>
      </c>
      <c r="D40" s="98">
        <f t="shared" si="0"/>
        <v>0</v>
      </c>
      <c r="F40" s="255" t="s">
        <v>242</v>
      </c>
      <c r="G40" s="256">
        <v>40</v>
      </c>
      <c r="J40" s="257" t="s">
        <v>36</v>
      </c>
      <c r="K40" s="258" t="s">
        <v>40</v>
      </c>
      <c r="N40" s="75" t="s">
        <v>1263</v>
      </c>
      <c r="R40" s="260"/>
    </row>
    <row r="41" spans="2:25" ht="15.6" x14ac:dyDescent="0.3">
      <c r="B41" s="98" t="s">
        <v>1517</v>
      </c>
      <c r="C41" s="273" t="b">
        <v>0</v>
      </c>
      <c r="D41" s="98">
        <f t="shared" si="0"/>
        <v>0</v>
      </c>
      <c r="F41" s="250" t="s">
        <v>246</v>
      </c>
      <c r="G41" s="251">
        <v>41</v>
      </c>
      <c r="J41" s="257" t="s">
        <v>36</v>
      </c>
      <c r="K41" s="258" t="s">
        <v>42</v>
      </c>
      <c r="R41" s="259"/>
    </row>
    <row r="42" spans="2:25" ht="15.6" x14ac:dyDescent="0.3">
      <c r="B42" s="98" t="s">
        <v>1518</v>
      </c>
      <c r="C42" s="273" t="b">
        <v>0</v>
      </c>
      <c r="D42" s="98">
        <f t="shared" si="0"/>
        <v>0</v>
      </c>
      <c r="F42" s="255" t="s">
        <v>248</v>
      </c>
      <c r="G42" s="256">
        <v>42</v>
      </c>
      <c r="J42" s="257" t="s">
        <v>36</v>
      </c>
      <c r="K42" s="258" t="s">
        <v>43</v>
      </c>
    </row>
    <row r="43" spans="2:25" ht="15.6" x14ac:dyDescent="0.3">
      <c r="B43" s="98" t="s">
        <v>1519</v>
      </c>
      <c r="C43" s="273" t="b">
        <v>0</v>
      </c>
      <c r="D43" s="98">
        <f t="shared" si="0"/>
        <v>0</v>
      </c>
      <c r="F43" s="250" t="s">
        <v>619</v>
      </c>
      <c r="G43" s="251">
        <v>43</v>
      </c>
      <c r="J43" s="275" t="s">
        <v>44</v>
      </c>
      <c r="K43" s="267" t="s">
        <v>45</v>
      </c>
      <c r="N43" s="75" t="s">
        <v>801</v>
      </c>
      <c r="R43" s="248"/>
    </row>
    <row r="44" spans="2:25" ht="15.6" x14ac:dyDescent="0.3">
      <c r="B44" s="274" t="s">
        <v>1532</v>
      </c>
      <c r="C44" s="211" t="b">
        <v>0</v>
      </c>
      <c r="D44" s="98">
        <f t="shared" si="0"/>
        <v>0</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6" x14ac:dyDescent="0.3">
      <c r="B50" s="95" t="s">
        <v>1536</v>
      </c>
      <c r="C50" s="161">
        <f>IF(OR(SUM('Список мероприятий'!Z6:Z77)&gt;0),1,0)</f>
        <v>1</v>
      </c>
      <c r="D50" s="95" t="s">
        <v>1912</v>
      </c>
      <c r="F50" s="255" t="s">
        <v>2</v>
      </c>
      <c r="G50" s="256">
        <v>50</v>
      </c>
      <c r="J50" s="275" t="s">
        <v>293</v>
      </c>
      <c r="K50" s="258" t="s">
        <v>413</v>
      </c>
      <c r="N50" s="254"/>
      <c r="Y50" s="75" t="s">
        <v>1906</v>
      </c>
    </row>
    <row r="51" spans="2:25" ht="15.6" x14ac:dyDescent="0.3">
      <c r="B51" s="95" t="s">
        <v>1537</v>
      </c>
      <c r="C51" s="161">
        <f>IF(OR(C49&gt;0,C50&gt;0,C52&gt;0),1,0)</f>
        <v>1</v>
      </c>
      <c r="D51" s="95"/>
      <c r="F51" s="250" t="s">
        <v>68</v>
      </c>
      <c r="G51" s="251">
        <v>51</v>
      </c>
      <c r="J51" s="275" t="s">
        <v>293</v>
      </c>
      <c r="K51" s="267" t="s">
        <v>414</v>
      </c>
      <c r="Y51" s="75" t="s">
        <v>1907</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1908</v>
      </c>
      <c r="C53" s="75">
        <f>IF(AND(C49=0,C52=0),1,0)</f>
        <v>1</v>
      </c>
      <c r="F53" s="250" t="s">
        <v>458</v>
      </c>
      <c r="G53" s="251">
        <v>53</v>
      </c>
      <c r="J53" s="275" t="s">
        <v>293</v>
      </c>
      <c r="K53" s="258" t="s">
        <v>416</v>
      </c>
    </row>
    <row r="54" spans="2:25" ht="16.2" x14ac:dyDescent="0.3">
      <c r="F54" s="255" t="s">
        <v>329</v>
      </c>
      <c r="G54" s="256">
        <v>54</v>
      </c>
      <c r="J54" s="275" t="s">
        <v>293</v>
      </c>
      <c r="K54" s="267" t="s">
        <v>412</v>
      </c>
      <c r="Y54" s="75" t="s">
        <v>1910</v>
      </c>
    </row>
    <row r="55" spans="2:25" ht="16.2" x14ac:dyDescent="0.3">
      <c r="F55" s="250" t="s">
        <v>145</v>
      </c>
      <c r="G55" s="251">
        <v>55</v>
      </c>
      <c r="J55" s="275" t="s">
        <v>419</v>
      </c>
      <c r="K55" s="258" t="s">
        <v>418</v>
      </c>
      <c r="Y55" s="75" t="s">
        <v>1911</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tabSelected="1" topLeftCell="C1" zoomScale="85" zoomScaleNormal="85" workbookViewId="0">
      <pane ySplit="1" topLeftCell="A74" activePane="bottomLeft" state="frozen"/>
      <selection pane="bottomLeft" activeCell="F211" sqref="F211"/>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34"/>
      <c r="G1" s="1534"/>
      <c r="H1" s="1534"/>
      <c r="I1" s="1534"/>
      <c r="J1" s="1534"/>
      <c r="K1" s="1534"/>
      <c r="L1" s="1534"/>
      <c r="M1" s="1534"/>
      <c r="N1" s="1534"/>
      <c r="O1" s="1534"/>
      <c r="P1" s="1534"/>
      <c r="Q1" s="1534"/>
      <c r="R1" s="1534"/>
      <c r="S1" s="1534"/>
      <c r="T1" s="1534"/>
      <c r="U1" s="1534"/>
      <c r="V1" s="1534"/>
      <c r="W1" s="1534"/>
      <c r="X1" s="1534"/>
      <c r="Y1" s="1534"/>
      <c r="Z1" s="1318"/>
    </row>
    <row r="2" spans="1:26" s="17" customFormat="1" ht="15" customHeight="1" x14ac:dyDescent="0.3">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69" t="s">
        <v>1756</v>
      </c>
      <c r="D3" s="157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69"/>
      <c r="D4" s="1570"/>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69"/>
      <c r="D5" s="1570"/>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34"/>
      <c r="D6" s="1570"/>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1864</v>
      </c>
      <c r="D9" s="71" t="s">
        <v>1948</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100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101</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1994</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1913</v>
      </c>
      <c r="C13" s="1495" t="s">
        <v>1904</v>
      </c>
      <c r="D13" s="71" t="str">
        <f>IF(ISBLANK(D12),
        INDEX(snipyear,1),
        IF(D12&lt;=1996,
                INDEX(snipyear,2),
                IF(D12&lt;2001,
                        INDEX(snipyear,3),
                        INDEX(snipyear,4))))</f>
        <v>до 1995 г.</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64">
        <v>6</v>
      </c>
      <c r="C15" s="1573"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64"/>
      <c r="C16" s="1573"/>
      <c r="D16" s="1290" t="s">
        <v>1442</v>
      </c>
      <c r="E16" s="1572"/>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1758</v>
      </c>
      <c r="D17" s="71">
        <v>2</v>
      </c>
      <c r="E17" s="1540"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540"/>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5</v>
      </c>
      <c r="E19" s="1540"/>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1760</v>
      </c>
      <c r="D20" s="71">
        <v>38</v>
      </c>
      <c r="E20" s="1540"/>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32</v>
      </c>
      <c r="E21" s="1540"/>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103</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1757</v>
      </c>
      <c r="D23" s="72">
        <v>0</v>
      </c>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64">
        <v>14</v>
      </c>
      <c r="C24" s="1536" t="s">
        <v>1516</v>
      </c>
      <c r="D24" s="9"/>
      <c r="E24" s="1568" t="s">
        <v>1764</v>
      </c>
      <c r="F24" s="1544"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64"/>
      <c r="C25" s="1537"/>
      <c r="D25" s="9"/>
      <c r="E25" s="1568"/>
      <c r="F25" s="1544"/>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64"/>
      <c r="C26" s="1538"/>
      <c r="D26" s="9"/>
      <c r="E26" s="1568"/>
      <c r="F26" s="1544"/>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539"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539"/>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539"/>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97</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97</v>
      </c>
      <c r="E33" s="155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0</v>
      </c>
      <c r="E34" s="155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56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545" t="s">
        <v>1808</v>
      </c>
      <c r="D38" s="1545"/>
      <c r="E38" s="1545"/>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541" t="s">
        <v>1810</v>
      </c>
      <c r="D40" s="1541"/>
      <c r="E40" s="1541"/>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55" t="s">
        <v>1452</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1766</v>
      </c>
      <c r="D44" s="1304">
        <v>2650</v>
      </c>
      <c r="E44" s="1485" t="s">
        <v>1777</v>
      </c>
      <c r="F44" s="1438"/>
      <c r="G44" s="1306">
        <f>IF($D$14=списки!$B$3,D44,'Серии планировка'!F76)</f>
        <v>2650</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1767</v>
      </c>
      <c r="D45" s="1304">
        <v>2379.3000000000002</v>
      </c>
      <c r="E45" s="1486" t="s">
        <v>1778</v>
      </c>
      <c r="F45" s="1438" t="str">
        <f>IF(AND(D45&lt;&gt;0,$D$14="нет в списке",D45&gt;=D44),"Ошибка. Значение должно быть меньше общей площади","")</f>
        <v/>
      </c>
      <c r="G45" s="1306">
        <f>IF($D$14=списки!$B$3,D45,'Серии планировка'!G76)</f>
        <v>2379.3000000000002</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1776</v>
      </c>
      <c r="D46" s="1304">
        <v>1423.7</v>
      </c>
      <c r="E46" s="1486" t="s">
        <v>1779</v>
      </c>
      <c r="F46" s="1438" t="str">
        <f>IF(AND(D46&lt;&gt;0,$D$14="нет в списке",D46&gt;=D45),"Ошибка. Значение должно быть меньше площади квартир","")</f>
        <v/>
      </c>
      <c r="G46" s="1306">
        <f>IF($D$14=списки!$B$3,D46,'Серии планировка'!H76)</f>
        <v>1423.7</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44</v>
      </c>
      <c r="E47" s="1486" t="s">
        <v>1560</v>
      </c>
      <c r="F47" s="1438"/>
      <c r="G47" s="1307">
        <f>IF($D$14=списки!$B$3,D47,'Серии планировка'!$L$76)</f>
        <v>44</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12</v>
      </c>
      <c r="E48" s="1486" t="s">
        <v>1561</v>
      </c>
      <c r="F48" s="1438"/>
      <c r="G48" s="1306">
        <f>IF($D$14=списки!$B$3,D48,'Серии планировка'!$M$76)</f>
        <v>12</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14</v>
      </c>
      <c r="E49" s="1486" t="s">
        <v>1632</v>
      </c>
      <c r="F49" s="1438"/>
      <c r="G49" s="1306">
        <f>IF($D$14=списки!$B$3,D49,'Серии планировка'!$J$76)</f>
        <v>14</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1784</v>
      </c>
      <c r="D50" s="1305">
        <v>1568</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1568</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1768</v>
      </c>
      <c r="D51" s="1301">
        <f>D50-D53-D56-D59-D66</f>
        <v>1217.9000000000001</v>
      </c>
      <c r="E51" s="1486" t="s">
        <v>1780</v>
      </c>
      <c r="F51" s="1438" t="str">
        <f>IF(AND(D51&lt;&gt;0,$D$14="нет в списке",D51&gt;=D50),"Ошибка. Значение должно быть меньше площади фасадов","")</f>
        <v/>
      </c>
      <c r="G51" s="1308">
        <f>G50-G53-G56-G59-G66</f>
        <v>1217.9000000000001</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138</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138</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1769</v>
      </c>
      <c r="D53" s="1303">
        <v>324</v>
      </c>
      <c r="E53" s="1486" t="s">
        <v>1782</v>
      </c>
      <c r="F53" s="1438"/>
      <c r="G53" s="1306">
        <f>IF($D$14=списки!$B$3,D53,'Серии планировка'!T76)</f>
        <v>324</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1944</v>
      </c>
      <c r="E54" s="1486" t="s">
        <v>1786</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46</v>
      </c>
      <c r="E55" s="1486" t="s">
        <v>1919</v>
      </c>
      <c r="F55" s="1438"/>
      <c r="G55" s="1306">
        <f>IF($D$14=списки!$B$3,D55,'Серии планировка'!R76)</f>
        <v>46</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1770</v>
      </c>
      <c r="D56" s="1302">
        <v>16.100000000000001</v>
      </c>
      <c r="E56" s="1486" t="s">
        <v>1787</v>
      </c>
      <c r="F56" s="1438"/>
      <c r="G56" s="1306">
        <f>IF($D$14=списки!$B$3,D56,'Серии планировка'!U76)</f>
        <v>16.100000000000001</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1944</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0</v>
      </c>
      <c r="E58" s="1486" t="s">
        <v>1789</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1785</v>
      </c>
      <c r="D59" s="1302">
        <v>0</v>
      </c>
      <c r="E59" s="1486" t="s">
        <v>1787</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1771</v>
      </c>
      <c r="D60" s="1302"/>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1772</v>
      </c>
      <c r="D61" s="1302">
        <v>528</v>
      </c>
      <c r="E61" s="1486" t="s">
        <v>1790</v>
      </c>
      <c r="F61" s="1438"/>
      <c r="G61" s="1306">
        <f>IF($D$14=списки!$B$3,D61,IF(AND(списки!D31=1,списки!D32=0),'Серии планировка'!X76,0))</f>
        <v>528</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1773</v>
      </c>
      <c r="D62" s="1302"/>
      <c r="E62" s="1486" t="s">
        <v>1791</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1774</v>
      </c>
      <c r="D63" s="1302">
        <v>528</v>
      </c>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528</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1775</v>
      </c>
      <c r="D64" s="1302"/>
      <c r="E64" s="1486" t="s">
        <v>1794</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2</v>
      </c>
      <c r="E65" s="1565" t="s">
        <v>1918</v>
      </c>
      <c r="F65" s="1438" t="str">
        <f>IF(AND(D65&lt;&gt;0,$D$14="нет в списке",OR(D65&lt;D17,D65&gt;4*D17)),"Ошибка. Входных дверей может быть от 1 до 3 на секцию (подъезд)","")</f>
        <v/>
      </c>
      <c r="G65" s="1306">
        <f>IF($D$14=списки!$B$3,D65,'Серии планировка'!V76)</f>
        <v>2</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1795</v>
      </c>
      <c r="D66" s="1302">
        <v>10</v>
      </c>
      <c r="E66" s="1566"/>
      <c r="F66" s="1438" t="str">
        <f>IF(AND(D66&lt;&gt;0,$D$14="нет в списке",OR(D66&lt;D65*2,D66&gt;=6*D65)),"Ошибка. Площадь одной входной двери должна быть в пределах 2-5 м2","")</f>
        <v/>
      </c>
      <c r="G66" s="1306">
        <f>IF($D$14=списки!$B$3,D66,'Серии планировка'!W76)</f>
        <v>10</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3">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3">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55" t="s">
        <v>1796</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561"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56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56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56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56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56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563"/>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43" t="s">
        <v>1825</v>
      </c>
      <c r="D79" s="1543"/>
      <c r="E79" s="1543"/>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67" t="s">
        <v>766</v>
      </c>
      <c r="D80" s="1567"/>
      <c r="E80" s="1567"/>
      <c r="F80" s="74"/>
      <c r="G80" s="1"/>
      <c r="H80" s="1"/>
      <c r="I80" s="1"/>
      <c r="J80" s="10"/>
      <c r="K80" s="10"/>
      <c r="L80" s="18"/>
      <c r="M80" s="18"/>
      <c r="N80" s="18"/>
      <c r="O80" s="18"/>
      <c r="P80" s="18"/>
      <c r="Q80" s="18"/>
      <c r="R80" s="18"/>
      <c r="S80" s="18"/>
      <c r="T80" s="18"/>
      <c r="U80" s="18"/>
      <c r="V80" s="18"/>
      <c r="W80" s="18"/>
      <c r="X80" s="18"/>
      <c r="Y80" s="18"/>
      <c r="Z80" s="18"/>
    </row>
    <row r="81" spans="2:26" x14ac:dyDescent="0.3">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49" t="s">
        <v>764</v>
      </c>
      <c r="D82" s="1549"/>
      <c r="E82" s="1549"/>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1801</v>
      </c>
      <c r="D85" s="69">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3">
      <c r="B86" s="1436"/>
      <c r="C86" s="1542" t="str">
        <f>IF(OR(D83="",D84="",D85=""),"Введите температуры, пользуясь подсказками. Если чердак или подвал отсутствуют, оставьте любое из предлагаемых значений","")</f>
        <v/>
      </c>
      <c r="D86" s="1542"/>
      <c r="E86" s="1542"/>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3">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3">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3">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3">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3">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3">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3">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3">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47" t="s">
        <v>784</v>
      </c>
      <c r="D96" s="1547"/>
      <c r="E96" s="1547"/>
      <c r="F96" s="74"/>
      <c r="G96" s="1"/>
      <c r="H96" s="1"/>
      <c r="I96" s="1"/>
      <c r="J96" s="10"/>
      <c r="K96" s="10"/>
      <c r="L96" s="18"/>
      <c r="M96" s="18"/>
      <c r="N96" s="18"/>
      <c r="O96" s="18"/>
      <c r="P96" s="18"/>
      <c r="Q96" s="18"/>
      <c r="R96" s="18"/>
      <c r="S96" s="18"/>
      <c r="T96" s="18"/>
      <c r="U96" s="18"/>
      <c r="V96" s="18"/>
      <c r="W96" s="18"/>
      <c r="X96" s="18"/>
      <c r="Y96" s="18"/>
      <c r="Z96" s="18"/>
    </row>
    <row r="97" spans="1:26" x14ac:dyDescent="0.3">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3">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3">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49" t="s">
        <v>785</v>
      </c>
      <c r="D106" s="1549"/>
      <c r="E106" s="1549"/>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1807</v>
      </c>
      <c r="D110" s="68">
        <v>10</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1916</v>
      </c>
      <c r="C113" s="1286" t="s">
        <v>1917</v>
      </c>
      <c r="D113" s="68">
        <v>4.0999999999999996</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36"/>
      <c r="C114" s="1548" t="str">
        <f>IF(OR(C107="",D107="",D108="",D109="",D110="",D111="",D112=""),"Заполните таблицу","")</f>
        <v/>
      </c>
      <c r="D114" s="1548"/>
      <c r="E114" s="1548"/>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47" t="s">
        <v>972</v>
      </c>
      <c r="D127" s="1547"/>
      <c r="E127" s="1547"/>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535" t="s">
        <v>1003</v>
      </c>
      <c r="D129" s="1535"/>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1814</v>
      </c>
      <c r="D131" s="1330">
        <v>2920</v>
      </c>
      <c r="E131" s="1550" t="s">
        <v>983</v>
      </c>
      <c r="F131" s="1331" t="s">
        <v>977</v>
      </c>
      <c r="G131" s="68">
        <v>2</v>
      </c>
      <c r="H131" s="68">
        <v>100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1815</v>
      </c>
      <c r="D132" s="1330">
        <v>2920</v>
      </c>
      <c r="E132" s="1551"/>
      <c r="F132" s="1331" t="s">
        <v>977</v>
      </c>
      <c r="G132" s="68">
        <v>12</v>
      </c>
      <c r="H132" s="68">
        <v>60</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1816</v>
      </c>
      <c r="D133" s="1330">
        <v>4380</v>
      </c>
      <c r="E133" s="1523" t="s">
        <v>986</v>
      </c>
      <c r="F133" s="1331" t="s">
        <v>977</v>
      </c>
      <c r="G133" s="68">
        <v>0</v>
      </c>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1813</v>
      </c>
      <c r="D134" s="1330">
        <v>300</v>
      </c>
      <c r="E134" s="1523" t="s">
        <v>987</v>
      </c>
      <c r="F134" s="1331" t="s">
        <v>977</v>
      </c>
      <c r="G134" s="68">
        <v>2</v>
      </c>
      <c r="H134" s="68">
        <v>60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v>2</v>
      </c>
      <c r="H135" s="68">
        <v>60</v>
      </c>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535" t="s">
        <v>1470</v>
      </c>
      <c r="D137" s="1535"/>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535" t="s">
        <v>1471</v>
      </c>
      <c r="D143" s="1535"/>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1817</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1898</v>
      </c>
      <c r="D147" s="1342">
        <v>4512</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v>1</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v>0.06</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1898</v>
      </c>
      <c r="D151" s="1342">
        <v>8520</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1898</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552" t="s">
        <v>1472</v>
      </c>
      <c r="D158" s="1552"/>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c r="E159" s="1553"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1899</v>
      </c>
      <c r="D160" s="68"/>
      <c r="E160" s="1554"/>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43" t="s">
        <v>1826</v>
      </c>
      <c r="D163" s="1543"/>
      <c r="E163" s="1543"/>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1820</v>
      </c>
      <c r="D165" s="1527"/>
      <c r="E165" s="160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1819</v>
      </c>
      <c r="D166" s="1527">
        <v>0.16800000000000001</v>
      </c>
      <c r="E166" s="160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1822</v>
      </c>
      <c r="D167" s="1527">
        <v>8.1000000000000003E-2</v>
      </c>
      <c r="E167" s="160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1821</v>
      </c>
      <c r="D168" s="68"/>
      <c r="E168" s="160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616" t="s">
        <v>1818</v>
      </c>
      <c r="D171" s="1617"/>
      <c r="E171" s="160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110</v>
      </c>
      <c r="E172" s="160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60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616" t="s">
        <v>994</v>
      </c>
      <c r="D176" s="1617"/>
      <c r="E176" s="160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1823</v>
      </c>
      <c r="D177" s="69">
        <v>95</v>
      </c>
      <c r="E177" s="160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1824</v>
      </c>
      <c r="D178" s="69">
        <v>70</v>
      </c>
      <c r="E178" s="160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613" t="s">
        <v>1830</v>
      </c>
      <c r="D183" s="1613"/>
      <c r="E183" s="1613"/>
      <c r="F183" s="161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85" t="s">
        <v>995</v>
      </c>
      <c r="D184" s="1611" t="s">
        <v>996</v>
      </c>
      <c r="E184" s="1612"/>
      <c r="F184" s="1612"/>
      <c r="G184" s="74"/>
      <c r="H184" s="74"/>
      <c r="I184" s="74"/>
      <c r="J184" s="1610" t="s">
        <v>1528</v>
      </c>
      <c r="K184" s="1610"/>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8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v>87.11</v>
      </c>
      <c r="E186" s="1514"/>
      <c r="F186" s="1514"/>
      <c r="G186" s="1544"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71.009799999999998</v>
      </c>
      <c r="K186" s="1444">
        <f>IF('Система ГВС'!F3=2,0,IF(F186=0,(F206*(1+IF($C$107=списки!$Y$54,'Расчет базового уровня'!$D$176,0))*($D$107-IF(F252&gt;150,$D$108,$D$109))+E206*$D$113)/1000,F186))</f>
        <v>16.100199999999997</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v>64.373999999999995</v>
      </c>
      <c r="E187" s="1515"/>
      <c r="F187" s="1515"/>
      <c r="G187" s="1544"/>
      <c r="H187" s="74"/>
      <c r="I187" s="74"/>
      <c r="J187" s="1443">
        <f t="shared" ref="J187:J197" si="11">IF(E187="",D187-K187,E187)</f>
        <v>47.708179999999999</v>
      </c>
      <c r="K187" s="1444">
        <f>IF('Система ГВС'!F4=2,0,IF(F187=0,(F207*(1+IF($C$107=списки!$Y$54,'Расчет базового уровня'!$D$176,0))*($D$107-IF(F253&gt;150,$D$108,$D$109))+E207*$D$113)/1000,F187))</f>
        <v>16.66582</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2">B187+1</f>
        <v>103</v>
      </c>
      <c r="C188" s="1352" t="s">
        <v>490</v>
      </c>
      <c r="D188" s="1515">
        <v>28.774000000000001</v>
      </c>
      <c r="E188" s="1515"/>
      <c r="F188" s="1515"/>
      <c r="G188" s="1544"/>
      <c r="H188" s="74"/>
      <c r="I188" s="74"/>
      <c r="J188" s="1443">
        <f t="shared" si="11"/>
        <v>12.028980000000001</v>
      </c>
      <c r="K188" s="1444">
        <f>IF('Система ГВС'!F5=2,0,IF(F188=0,(F208*(1+IF($C$107=списки!$Y$54,'Расчет базового уровня'!$D$176,0))*($D$107-IF(F254&gt;150,$D$108,$D$109))+E208*$D$113)/1000,F188))</f>
        <v>16.74502</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2"/>
        <v>104</v>
      </c>
      <c r="C189" s="1352" t="s">
        <v>491</v>
      </c>
      <c r="D189" s="1515">
        <v>18.094999999999999</v>
      </c>
      <c r="E189" s="1515"/>
      <c r="F189" s="1515"/>
      <c r="G189" s="1544"/>
      <c r="H189" s="74"/>
      <c r="I189" s="74"/>
      <c r="J189" s="1443">
        <f t="shared" si="11"/>
        <v>-2.4470000000000027</v>
      </c>
      <c r="K189" s="1444">
        <f>IF('Система ГВС'!F6=2,0,IF(F189=0,(F209*(1+IF($C$107=списки!$Y$54,'Расчет базового уровня'!$D$176,0))*($D$107-IF(F255&gt;150,$D$108,$D$109))+E209*$D$113)/1000,F189))</f>
        <v>20.542000000000002</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2"/>
        <v>105</v>
      </c>
      <c r="C190" s="1352" t="s">
        <v>805</v>
      </c>
      <c r="D190" s="1515">
        <v>20.48</v>
      </c>
      <c r="E190" s="1515"/>
      <c r="F190" s="1515"/>
      <c r="G190" s="1544"/>
      <c r="H190" s="74"/>
      <c r="I190" s="74"/>
      <c r="J190" s="1443">
        <f t="shared" si="11"/>
        <v>2.0637399999999992</v>
      </c>
      <c r="K190" s="1444">
        <f>IF('Система ГВС'!F7=2,0,IF(F190=0,(F210*(1+IF($C$107=списки!$Y$54,'Расчет базового уровня'!$D$176,0))*($D$107-IF(F256&gt;150,$D$108,$D$109))+E210*$D$113)/1000,F190))</f>
        <v>18.416260000000001</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2"/>
        <v>106</v>
      </c>
      <c r="C191" s="1352" t="s">
        <v>806</v>
      </c>
      <c r="D191" s="1515">
        <v>19.977</v>
      </c>
      <c r="E191" s="1515"/>
      <c r="F191" s="1515"/>
      <c r="G191" s="1544"/>
      <c r="H191" s="74"/>
      <c r="I191" s="74"/>
      <c r="J191" s="1443">
        <f t="shared" si="11"/>
        <v>1.8804199999999973</v>
      </c>
      <c r="K191" s="1444">
        <f>IF('Система ГВС'!F8=2,0,IF(F191=0,(F211*(1+IF($C$107=списки!$Y$54,'Расчет базового уровня'!$D$176,0))*($D$107-IF(F257&gt;150,$D$108,$D$109))+E211*$D$113)/1000,F191))</f>
        <v>18.096580000000003</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2"/>
        <v>107</v>
      </c>
      <c r="C192" s="1352" t="s">
        <v>807</v>
      </c>
      <c r="D192" s="1515">
        <v>11.029</v>
      </c>
      <c r="E192" s="1515"/>
      <c r="F192" s="1515"/>
      <c r="G192" s="1544"/>
      <c r="H192" s="74"/>
      <c r="I192" s="74"/>
      <c r="J192" s="1443">
        <f t="shared" si="11"/>
        <v>-4.3583999999999996</v>
      </c>
      <c r="K192" s="1444">
        <f>IF('Система ГВС'!F9=2,0,IF(F192=0,(F212*(1+IF($C$107=списки!$Y$54,'Расчет базового уровня'!$D$176,0))*($D$107-IF(F258&gt;150,$D$108,$D$109))+E212*$D$113)/1000,F192))</f>
        <v>15.3874</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2"/>
        <v>108</v>
      </c>
      <c r="C193" s="1352" t="s">
        <v>808</v>
      </c>
      <c r="D193" s="1515">
        <v>19.768999999999998</v>
      </c>
      <c r="E193" s="1515"/>
      <c r="F193" s="1515"/>
      <c r="G193" s="1544"/>
      <c r="H193" s="74"/>
      <c r="I193" s="74"/>
      <c r="J193" s="1443">
        <f t="shared" si="11"/>
        <v>5.8266399999999976</v>
      </c>
      <c r="K193" s="1444">
        <f>IF('Система ГВС'!F10=2,0,IF(F193=0,(F213*(1+IF($C$107=списки!$Y$54,'Расчет базового уровня'!$D$176,0))*($D$107-IF(F259&gt;150,$D$108,$D$109))+E213*$D$113)/1000,F193))</f>
        <v>13.942360000000001</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2"/>
        <v>109</v>
      </c>
      <c r="C194" s="1352" t="s">
        <v>809</v>
      </c>
      <c r="D194" s="1515">
        <v>46.750999999999998</v>
      </c>
      <c r="E194" s="1515"/>
      <c r="F194" s="1515"/>
      <c r="G194" s="1544"/>
      <c r="H194" s="74"/>
      <c r="I194" s="74"/>
      <c r="J194" s="1443">
        <f t="shared" si="11"/>
        <v>32.345860000000002</v>
      </c>
      <c r="K194" s="1444">
        <f>IF('Система ГВС'!F11=2,0,IF(F194=0,(F214*(1+IF($C$107=списки!$Y$54,'Расчет базового уровня'!$D$176,0))*($D$107-IF(F260&gt;150,$D$108,$D$109))+E214*$D$113)/1000,F194))</f>
        <v>14.405139999999999</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2"/>
        <v>110</v>
      </c>
      <c r="C195" s="1352" t="s">
        <v>482</v>
      </c>
      <c r="D195" s="1515">
        <v>90.817000000000007</v>
      </c>
      <c r="E195" s="1515"/>
      <c r="F195" s="1515"/>
      <c r="G195" s="1544"/>
      <c r="H195" s="74"/>
      <c r="I195" s="74"/>
      <c r="J195" s="1443">
        <f t="shared" si="11"/>
        <v>75.172200000000004</v>
      </c>
      <c r="K195" s="1444">
        <f>IF('Система ГВС'!F12=2,0,IF(F195=0,(F215*(1+IF($C$107=списки!$Y$54,'Расчет базового уровня'!$D$176,0))*($D$107-IF(F261&gt;150,$D$108,$D$109))+E215*$D$113)/1000,F195))</f>
        <v>15.6448</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2"/>
        <v>111</v>
      </c>
      <c r="C196" s="1352" t="s">
        <v>486</v>
      </c>
      <c r="D196" s="1515">
        <v>89.295000000000002</v>
      </c>
      <c r="E196" s="1515"/>
      <c r="F196" s="1515"/>
      <c r="G196" s="1544"/>
      <c r="H196" s="74"/>
      <c r="I196" s="74"/>
      <c r="J196" s="1443">
        <f t="shared" si="11"/>
        <v>71.696600000000004</v>
      </c>
      <c r="K196" s="1444">
        <f>IF('Система ГВС'!F13=2,0,IF(F196=0,(F216*(1+IF($C$107=списки!$Y$54,'Расчет базового уровня'!$D$176,0))*($D$107-IF(F262&gt;150,$D$108,$D$109))+E216*$D$113)/1000,F196))</f>
        <v>17.598400000000002</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2"/>
        <v>112</v>
      </c>
      <c r="C197" s="1353" t="s">
        <v>487</v>
      </c>
      <c r="D197" s="1516">
        <v>87.486999999999995</v>
      </c>
      <c r="E197" s="1516"/>
      <c r="F197" s="1516"/>
      <c r="G197" s="1544"/>
      <c r="H197" s="74"/>
      <c r="I197" s="74"/>
      <c r="J197" s="1443">
        <f t="shared" si="11"/>
        <v>71.362380000000002</v>
      </c>
      <c r="K197" s="1444">
        <f>IF('Система ГВС'!F14=2,0,IF(F197=0,(F217*(1+IF($C$107=списки!$Y$54,'Расчет базового уровня'!$D$176,0))*($D$107-IF(F263&gt;150,$D$108,$D$109))+E217*$D$113)/1000,F197))</f>
        <v>16.12462</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v>583.95799999999997</v>
      </c>
      <c r="E198" s="1431">
        <v>0</v>
      </c>
      <c r="F198" s="1431">
        <v>0</v>
      </c>
      <c r="G198" s="74"/>
      <c r="H198" s="74"/>
      <c r="I198" s="74"/>
      <c r="J198" s="1445">
        <f>IF(E198=0,D198-K198,E198)</f>
        <v>384.80630354929576</v>
      </c>
      <c r="K198" s="1444">
        <f>IF('Система ГВС'!F15=2,0,IF(F198=0,(F218*(1+IF($C$107=списки!$Y$54,'Расчет базового уровня'!$D$176,0))*($D$107-'Расчет после реализации'!E173)+E218*$D$113)/1000,F198))</f>
        <v>199.15169645070421</v>
      </c>
      <c r="L198" s="18"/>
      <c r="M198" s="18"/>
      <c r="N198" s="18"/>
      <c r="O198" s="18"/>
      <c r="P198" s="18"/>
      <c r="Q198" s="18"/>
      <c r="R198" s="18"/>
      <c r="S198" s="18"/>
      <c r="T198" s="18"/>
      <c r="U198" s="18"/>
      <c r="V198" s="18"/>
      <c r="W198" s="18"/>
      <c r="X198" s="18"/>
      <c r="Y198" s="18"/>
      <c r="Z198" s="18"/>
    </row>
    <row r="199" spans="1:34" s="8" customFormat="1" x14ac:dyDescent="0.3">
      <c r="A199" s="1292"/>
      <c r="B199" s="1475"/>
      <c r="C199" s="10"/>
      <c r="D199" s="10"/>
      <c r="E199" s="10"/>
      <c r="F199" s="1284">
        <f>F218*55*1.3</f>
        <v>119156.18000000001</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2"/>
      <c r="B202" s="1475"/>
      <c r="C202" s="1609" t="str">
        <f>IF('Система ГВС'!F3=2,"Таблицу ниже можно не заполнять, т.к. в поле 59 выбрана децентрализованная система ГВС.","")</f>
        <v/>
      </c>
      <c r="D202" s="1609"/>
      <c r="E202" s="1609"/>
      <c r="F202" s="160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613" t="s">
        <v>1835</v>
      </c>
      <c r="D203" s="1613"/>
      <c r="E203" s="1613"/>
      <c r="F203" s="161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85" t="s">
        <v>995</v>
      </c>
      <c r="D204" s="1586" t="s">
        <v>1001</v>
      </c>
      <c r="E204" s="1587"/>
      <c r="F204" s="1588"/>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85"/>
      <c r="D205" s="1345" t="s">
        <v>1831</v>
      </c>
      <c r="E205" s="1355" t="s">
        <v>1832</v>
      </c>
      <c r="F205" s="1349" t="s">
        <v>1833</v>
      </c>
      <c r="G205" s="1614"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расход ТЭ в летние месяцы сильно отличается от теоретического на основе введенного водоразбора. Стоит обратиться в поддержку</v>
      </c>
      <c r="H205" s="1615"/>
      <c r="I205" s="1615"/>
      <c r="J205" s="1615"/>
      <c r="K205" s="161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2119.6999999999998</v>
      </c>
      <c r="E206" s="1514">
        <v>2000</v>
      </c>
      <c r="F206" s="1514">
        <v>119.7</v>
      </c>
      <c r="G206" s="1596"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-26%.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96"/>
      <c r="I206" s="1597"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7"/>
      <c r="K206" s="1597"/>
      <c r="L206" s="1441">
        <f>$F$218/365/$D$22*1000</f>
        <v>44.328235137651284</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2128.27</v>
      </c>
      <c r="E207" s="1515">
        <v>2000</v>
      </c>
      <c r="F207" s="1515">
        <v>128.27000000000001</v>
      </c>
      <c r="G207" s="1596"/>
      <c r="H207" s="1596"/>
      <c r="I207" s="1597"/>
      <c r="J207" s="1597"/>
      <c r="K207" s="1597"/>
      <c r="L207" s="1441">
        <f>SUMPRODUCT('Система ГВС'!$D$5:$D$9,'Система ГВС'!$E$5:$E$9)*(1-0.4*$D$21/$D$20)</f>
        <v>59.684210526315795</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3">B207+1</f>
        <v>115</v>
      </c>
      <c r="C208" s="1352" t="s">
        <v>490</v>
      </c>
      <c r="D208" s="1515">
        <v>2129.4699999999998</v>
      </c>
      <c r="E208" s="1515">
        <v>2000</v>
      </c>
      <c r="F208" s="1515">
        <v>129.47</v>
      </c>
      <c r="G208" s="1596"/>
      <c r="H208" s="1596"/>
      <c r="I208" s="1597"/>
      <c r="J208" s="1597"/>
      <c r="K208" s="1597"/>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3"/>
        <v>116</v>
      </c>
      <c r="C209" s="1352" t="s">
        <v>491</v>
      </c>
      <c r="D209" s="1515">
        <v>2187</v>
      </c>
      <c r="E209" s="1515">
        <v>2000</v>
      </c>
      <c r="F209" s="1515">
        <v>187</v>
      </c>
      <c r="G209" s="1596"/>
      <c r="H209" s="1596"/>
      <c r="I209" s="1597"/>
      <c r="J209" s="1597"/>
      <c r="K209" s="1597"/>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3"/>
        <v>117</v>
      </c>
      <c r="C210" s="1352" t="s">
        <v>805</v>
      </c>
      <c r="D210" s="1515">
        <v>2189.19</v>
      </c>
      <c r="E210" s="1515">
        <v>2000</v>
      </c>
      <c r="F210" s="1515">
        <v>189.19</v>
      </c>
      <c r="G210" s="1596"/>
      <c r="H210" s="1596"/>
      <c r="I210" s="1597"/>
      <c r="J210" s="1597"/>
      <c r="K210" s="1597"/>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3"/>
        <v>118</v>
      </c>
      <c r="C211" s="1352" t="s">
        <v>806</v>
      </c>
      <c r="D211" s="1515">
        <v>2183.27</v>
      </c>
      <c r="E211" s="1515">
        <v>2000</v>
      </c>
      <c r="F211" s="1515">
        <v>183.27</v>
      </c>
      <c r="G211" s="1596"/>
      <c r="H211" s="1596"/>
      <c r="I211" s="1597"/>
      <c r="J211" s="1597"/>
      <c r="K211" s="1597"/>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3"/>
        <v>119</v>
      </c>
      <c r="C212" s="1352" t="s">
        <v>807</v>
      </c>
      <c r="D212" s="1515">
        <v>2133.1</v>
      </c>
      <c r="E212" s="1515">
        <v>2000</v>
      </c>
      <c r="F212" s="1515">
        <v>133.1</v>
      </c>
      <c r="G212" s="1596"/>
      <c r="H212" s="1596"/>
      <c r="I212" s="1597"/>
      <c r="J212" s="1597"/>
      <c r="K212" s="1597"/>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3"/>
        <v>120</v>
      </c>
      <c r="C213" s="1352" t="s">
        <v>808</v>
      </c>
      <c r="D213" s="1515">
        <v>2106.34</v>
      </c>
      <c r="E213" s="1515">
        <v>2000</v>
      </c>
      <c r="F213" s="1515">
        <v>106.34</v>
      </c>
      <c r="G213" s="1596"/>
      <c r="H213" s="1596"/>
      <c r="I213" s="1597"/>
      <c r="J213" s="1597"/>
      <c r="K213" s="1597"/>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3"/>
        <v>121</v>
      </c>
      <c r="C214" s="1352" t="s">
        <v>809</v>
      </c>
      <c r="D214" s="1515">
        <v>2114.91</v>
      </c>
      <c r="E214" s="1515">
        <v>2000</v>
      </c>
      <c r="F214" s="1515">
        <v>114.91</v>
      </c>
      <c r="G214" s="1596"/>
      <c r="H214" s="1596"/>
      <c r="I214" s="1597"/>
      <c r="J214" s="1597"/>
      <c r="K214" s="1597"/>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3"/>
        <v>122</v>
      </c>
      <c r="C215" s="1352" t="s">
        <v>482</v>
      </c>
      <c r="D215" s="1515">
        <v>2112.8000000000002</v>
      </c>
      <c r="E215" s="1515">
        <v>2000</v>
      </c>
      <c r="F215" s="1515">
        <v>112.8</v>
      </c>
      <c r="G215" s="1596"/>
      <c r="H215" s="1596"/>
      <c r="I215" s="1597"/>
      <c r="J215" s="1597"/>
      <c r="K215" s="1597"/>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3"/>
        <v>123</v>
      </c>
      <c r="C216" s="1352" t="s">
        <v>486</v>
      </c>
      <c r="D216" s="1515">
        <v>2142.4</v>
      </c>
      <c r="E216" s="1515">
        <v>2000</v>
      </c>
      <c r="F216" s="1515">
        <v>142.4</v>
      </c>
      <c r="G216" s="1596"/>
      <c r="H216" s="1596"/>
      <c r="I216" s="1597"/>
      <c r="J216" s="1597"/>
      <c r="K216" s="1597"/>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3"/>
        <v>124</v>
      </c>
      <c r="C217" s="1353" t="s">
        <v>487</v>
      </c>
      <c r="D217" s="1516">
        <v>2120.0700000000002</v>
      </c>
      <c r="E217" s="1516">
        <v>2000</v>
      </c>
      <c r="F217" s="1516">
        <v>120.07</v>
      </c>
      <c r="G217" s="1596"/>
      <c r="H217" s="1596"/>
      <c r="I217" s="1597"/>
      <c r="J217" s="1597"/>
      <c r="K217" s="1597"/>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v>25666.52</v>
      </c>
      <c r="E218" s="1431">
        <v>24000</v>
      </c>
      <c r="F218" s="1432">
        <v>1666.52</v>
      </c>
      <c r="G218" s="1596"/>
      <c r="H218" s="1596"/>
      <c r="I218" s="1597"/>
      <c r="J218" s="1597"/>
      <c r="K218" s="1597"/>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613" t="s">
        <v>1834</v>
      </c>
      <c r="D220" s="1613"/>
      <c r="E220" s="1613"/>
      <c r="F220" s="1613"/>
      <c r="G220" s="1613"/>
      <c r="H220" s="1613"/>
      <c r="I220" s="1613"/>
      <c r="J220" s="161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89" t="s">
        <v>995</v>
      </c>
      <c r="D221" s="1590" t="s">
        <v>1604</v>
      </c>
      <c r="E221" s="1592" t="s">
        <v>1341</v>
      </c>
      <c r="F221" s="1593" t="s">
        <v>1344</v>
      </c>
      <c r="G221" s="1594"/>
      <c r="H221" s="1594"/>
      <c r="I221" s="1594"/>
      <c r="J221" s="1595"/>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89"/>
      <c r="D222" s="1591"/>
      <c r="E222" s="1590"/>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v>5.01</v>
      </c>
      <c r="E223" s="1514">
        <v>0</v>
      </c>
      <c r="F223" s="1514">
        <v>0.27250666666666667</v>
      </c>
      <c r="G223" s="1505"/>
      <c r="H223" s="1505"/>
      <c r="I223" s="1505"/>
      <c r="J223" s="1502"/>
      <c r="K223" s="1605" t="s">
        <v>1605</v>
      </c>
      <c r="L223" s="1605"/>
      <c r="M223" s="74"/>
      <c r="N223" s="74"/>
      <c r="O223" s="74"/>
      <c r="P223" s="1467">
        <f>SUM(Q223:S223,W223)</f>
        <v>0.27250666666666667</v>
      </c>
      <c r="Q223" s="1468">
        <f>($G$131*$H$131*$D$131+$H$132*$G$132*$D$132+$H$133*$G$133*$D$133+$H$134*$G$134*$D$134+$H$135*$G$135*$D$135)/12/1000000</f>
        <v>0.22786666666666666</v>
      </c>
      <c r="R223" s="1468">
        <f>$D$140*$D$141/1000/12</f>
        <v>0</v>
      </c>
      <c r="S223" s="1469">
        <f>SUM(T223:V223)</f>
        <v>4.4639999999999999E-2</v>
      </c>
      <c r="T223" s="1469">
        <f>$D$146*'Расчет базового уровня'!$G$146*24/1000</f>
        <v>0</v>
      </c>
      <c r="U223" s="1469">
        <f>$D$150*'Расчет базового уровня'!$G$170*24/1000</f>
        <v>4.4639999999999999E-2</v>
      </c>
      <c r="V223" s="1469">
        <f>$D$154*'Расчет базового уровня'!$G$165*24/1000</f>
        <v>0</v>
      </c>
      <c r="W223" s="1470">
        <f>$D$159*$D$160/12/1000</f>
        <v>0</v>
      </c>
      <c r="X223" s="1471"/>
      <c r="Y223" s="1467">
        <f>SUM(Z223:AB223,AF223)</f>
        <v>0.27250666666666667</v>
      </c>
      <c r="Z223" s="1468">
        <f>IF(G223=0,IFERROR($F223*Q223/$P223,0),G223)</f>
        <v>0.22786666666666666</v>
      </c>
      <c r="AA223" s="1468">
        <f>IF(H223=0,IFERROR($F223*R223/$P223,0),H223)</f>
        <v>0</v>
      </c>
      <c r="AB223" s="1468">
        <f>IF(I223=0,IFERROR($F223*S223/$P223,0),I223)</f>
        <v>4.4639999999999999E-2</v>
      </c>
      <c r="AC223" s="1469">
        <f>IFERROR(IF($I223=0,$F223*T223/$P223,$AB223*T223/$S223),0)</f>
        <v>0</v>
      </c>
      <c r="AD223" s="1469">
        <f>IFERROR(IF($I223=0,$F223*U223/$P223,$AB223*U223/$S223),0)</f>
        <v>4.4639999999999999E-2</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v>7.38</v>
      </c>
      <c r="E224" s="1515">
        <v>0</v>
      </c>
      <c r="F224" s="1515">
        <v>0.26818666666666668</v>
      </c>
      <c r="G224" s="1506"/>
      <c r="H224" s="1506"/>
      <c r="I224" s="1506"/>
      <c r="J224" s="1503"/>
      <c r="K224" s="1605"/>
      <c r="L224" s="1605"/>
      <c r="M224" s="74"/>
      <c r="N224" s="74"/>
      <c r="O224" s="74"/>
      <c r="P224" s="1467">
        <f t="shared" ref="P224:P234" si="14">SUM(Q224:S224,W224)</f>
        <v>0.26818666666666668</v>
      </c>
      <c r="Q224" s="1468">
        <f t="shared" ref="Q224:Q234" si="15">($G$131*$H$131*$D$131+$H$132*$G$132*$D$132+$H$133*$G$133*$D$133+$H$134*$G$134*$D$134+$H$135*$G$135*$D$135)/12/1000000</f>
        <v>0.22786666666666666</v>
      </c>
      <c r="R224" s="1468">
        <f>R223</f>
        <v>0</v>
      </c>
      <c r="S224" s="1469">
        <f t="shared" ref="S224:S234" si="16">SUM(T224:V224)</f>
        <v>4.0320000000000002E-2</v>
      </c>
      <c r="T224" s="1469">
        <f>$D$146*'Расчет базового уровня'!$H$146*24/1000</f>
        <v>0</v>
      </c>
      <c r="U224" s="1469">
        <f>$D$150*'Расчет базового уровня'!$H$170*24/1000</f>
        <v>4.0320000000000002E-2</v>
      </c>
      <c r="V224" s="1469">
        <f>$D$154*'Расчет базового уровня'!$H$165*24/1000</f>
        <v>0</v>
      </c>
      <c r="W224" s="1470">
        <f t="shared" ref="W224:W234" si="17">$D$159*$D$160/12/1000</f>
        <v>0</v>
      </c>
      <c r="X224" s="1471"/>
      <c r="Y224" s="1467">
        <f t="shared" ref="Y224:Y235" si="18">SUM(Z224:AB224,AF224)</f>
        <v>0.26818666666666668</v>
      </c>
      <c r="Z224" s="1468">
        <f t="shared" ref="Z224:Z235" si="19">IF(G224=0,IFERROR($F224*Q224/$P224,0),G224)</f>
        <v>0.22786666666666666</v>
      </c>
      <c r="AA224" s="1468">
        <f t="shared" ref="AA224:AA235" si="20">IF(H224=0,IFERROR($F224*R224/$P224,0),H224)</f>
        <v>0</v>
      </c>
      <c r="AB224" s="1468">
        <f t="shared" ref="AB224:AB235" si="21">IF(I224=0,IFERROR($F224*S224/$P224,0),I224)</f>
        <v>4.0320000000000002E-2</v>
      </c>
      <c r="AC224" s="1469">
        <f t="shared" ref="AC224:AC235" si="22">IFERROR(IF($I224=0,$F224*T224/$P224,$AB224*T224/$S224),0)</f>
        <v>0</v>
      </c>
      <c r="AD224" s="1469">
        <f t="shared" ref="AD224:AD235" si="23">IFERROR(IF($I224=0,$F224*U224/$P224,$AB224*U224/$S224),0)</f>
        <v>4.0320000000000002E-2</v>
      </c>
      <c r="AE224" s="1469">
        <f t="shared" ref="AE224:AE235" si="24">IFERROR(IF($I224=0,$F224*V224/$P224,$AB224*V224/$S224),0)</f>
        <v>0</v>
      </c>
      <c r="AF224" s="1468">
        <f t="shared" ref="AF224:AF235" si="25">IFERROR(IF(J224=0,$F224*W224/$P224,P224),0)</f>
        <v>0</v>
      </c>
      <c r="AG224" s="18"/>
      <c r="AH224" s="18"/>
    </row>
    <row r="225" spans="1:34" s="8" customFormat="1" x14ac:dyDescent="0.3">
      <c r="A225" s="1292"/>
      <c r="B225" s="1477">
        <f t="shared" ref="B225:B234" si="26">B224+1</f>
        <v>127</v>
      </c>
      <c r="C225" s="1352" t="s">
        <v>490</v>
      </c>
      <c r="D225" s="1515">
        <v>8.34</v>
      </c>
      <c r="E225" s="1515">
        <v>0</v>
      </c>
      <c r="F225" s="1515">
        <v>0.27250666666666667</v>
      </c>
      <c r="G225" s="1506"/>
      <c r="H225" s="1506"/>
      <c r="I225" s="1506"/>
      <c r="J225" s="1503"/>
      <c r="K225" s="1605"/>
      <c r="L225" s="1605"/>
      <c r="M225" s="74"/>
      <c r="N225" s="74"/>
      <c r="O225" s="74"/>
      <c r="P225" s="1467">
        <f t="shared" si="14"/>
        <v>0.27250666666666667</v>
      </c>
      <c r="Q225" s="1468">
        <f t="shared" si="15"/>
        <v>0.22786666666666666</v>
      </c>
      <c r="R225" s="1468">
        <f t="shared" ref="R225:R234" si="27">R224</f>
        <v>0</v>
      </c>
      <c r="S225" s="1469">
        <f t="shared" si="16"/>
        <v>4.4639999999999999E-2</v>
      </c>
      <c r="T225" s="1469">
        <f>$D$146*'Расчет базового уровня'!$I$146*24/1000</f>
        <v>0</v>
      </c>
      <c r="U225" s="1469">
        <f>$D$150*'Расчет базового уровня'!$I$170*24/1000</f>
        <v>4.4639999999999999E-2</v>
      </c>
      <c r="V225" s="1469">
        <f>$D$154*'Расчет базового уровня'!$I$165*24/1000</f>
        <v>0</v>
      </c>
      <c r="W225" s="1470">
        <f t="shared" si="17"/>
        <v>0</v>
      </c>
      <c r="X225" s="1471"/>
      <c r="Y225" s="1467">
        <f t="shared" si="18"/>
        <v>0.27250666666666667</v>
      </c>
      <c r="Z225" s="1468">
        <f t="shared" si="19"/>
        <v>0.22786666666666666</v>
      </c>
      <c r="AA225" s="1468">
        <f t="shared" si="20"/>
        <v>0</v>
      </c>
      <c r="AB225" s="1468">
        <f t="shared" si="21"/>
        <v>4.4639999999999999E-2</v>
      </c>
      <c r="AC225" s="1469">
        <f t="shared" si="22"/>
        <v>0</v>
      </c>
      <c r="AD225" s="1469">
        <f t="shared" si="23"/>
        <v>4.4639999999999999E-2</v>
      </c>
      <c r="AE225" s="1469">
        <f t="shared" si="24"/>
        <v>0</v>
      </c>
      <c r="AF225" s="1468">
        <f t="shared" si="25"/>
        <v>0</v>
      </c>
      <c r="AG225" s="18"/>
      <c r="AH225" s="18"/>
    </row>
    <row r="226" spans="1:34" s="8" customFormat="1" x14ac:dyDescent="0.3">
      <c r="A226" s="1292"/>
      <c r="B226" s="1477">
        <f t="shared" si="26"/>
        <v>128</v>
      </c>
      <c r="C226" s="1352" t="s">
        <v>491</v>
      </c>
      <c r="D226" s="1515">
        <v>7.23</v>
      </c>
      <c r="E226" s="1515">
        <v>0</v>
      </c>
      <c r="F226" s="1515">
        <v>0.27106666666666668</v>
      </c>
      <c r="G226" s="1506"/>
      <c r="H226" s="1506"/>
      <c r="I226" s="1506"/>
      <c r="J226" s="1503"/>
      <c r="K226" s="1605"/>
      <c r="L226" s="1605"/>
      <c r="M226" s="74"/>
      <c r="N226" s="74"/>
      <c r="O226" s="74"/>
      <c r="P226" s="1467">
        <f t="shared" si="14"/>
        <v>0.27106666666666668</v>
      </c>
      <c r="Q226" s="1468">
        <f t="shared" si="15"/>
        <v>0.22786666666666666</v>
      </c>
      <c r="R226" s="1468">
        <f t="shared" si="27"/>
        <v>0</v>
      </c>
      <c r="S226" s="1469">
        <f t="shared" si="16"/>
        <v>4.3199999999999995E-2</v>
      </c>
      <c r="T226" s="1469">
        <f>$D$146*'Расчет базового уровня'!$J$146*24/1000</f>
        <v>0</v>
      </c>
      <c r="U226" s="1469">
        <f>$D$150*'Расчет базового уровня'!$J$170*24/1000</f>
        <v>4.3199999999999995E-2</v>
      </c>
      <c r="V226" s="1469">
        <f>$D$154*'Расчет базового уровня'!$J$165*24/1000</f>
        <v>0</v>
      </c>
      <c r="W226" s="1470">
        <f t="shared" si="17"/>
        <v>0</v>
      </c>
      <c r="X226" s="1471"/>
      <c r="Y226" s="1467">
        <f t="shared" si="18"/>
        <v>0.27106666666666668</v>
      </c>
      <c r="Z226" s="1468">
        <f t="shared" si="19"/>
        <v>0.22786666666666666</v>
      </c>
      <c r="AA226" s="1468">
        <f t="shared" si="20"/>
        <v>0</v>
      </c>
      <c r="AB226" s="1468">
        <f t="shared" si="21"/>
        <v>4.3199999999999995E-2</v>
      </c>
      <c r="AC226" s="1469">
        <f t="shared" si="22"/>
        <v>0</v>
      </c>
      <c r="AD226" s="1469">
        <f t="shared" si="23"/>
        <v>4.3199999999999995E-2</v>
      </c>
      <c r="AE226" s="1469">
        <f t="shared" si="24"/>
        <v>0</v>
      </c>
      <c r="AF226" s="1468">
        <f t="shared" si="25"/>
        <v>0</v>
      </c>
      <c r="AG226" s="18"/>
      <c r="AH226" s="18"/>
    </row>
    <row r="227" spans="1:34" s="8" customFormat="1" x14ac:dyDescent="0.3">
      <c r="A227" s="1292"/>
      <c r="B227" s="1477">
        <f t="shared" si="26"/>
        <v>129</v>
      </c>
      <c r="C227" s="1352" t="s">
        <v>805</v>
      </c>
      <c r="D227" s="1515">
        <v>6.54</v>
      </c>
      <c r="E227" s="1515">
        <v>0</v>
      </c>
      <c r="F227" s="1515">
        <v>0.27250666666666667</v>
      </c>
      <c r="G227" s="1506"/>
      <c r="H227" s="1506"/>
      <c r="I227" s="1506"/>
      <c r="J227" s="1503"/>
      <c r="K227" s="1605"/>
      <c r="L227" s="1605"/>
      <c r="M227" s="74"/>
      <c r="N227" s="74"/>
      <c r="O227" s="74"/>
      <c r="P227" s="1467">
        <f t="shared" si="14"/>
        <v>0.27250666666666667</v>
      </c>
      <c r="Q227" s="1468">
        <f t="shared" si="15"/>
        <v>0.22786666666666666</v>
      </c>
      <c r="R227" s="1468">
        <f t="shared" si="27"/>
        <v>0</v>
      </c>
      <c r="S227" s="1469">
        <f t="shared" si="16"/>
        <v>4.4639999999999999E-2</v>
      </c>
      <c r="T227" s="1469">
        <f>$D$146*'Расчет базового уровня'!$K$146*24/1000</f>
        <v>0</v>
      </c>
      <c r="U227" s="1469">
        <f>$D$150*'Расчет базового уровня'!$K$170*24/1000</f>
        <v>4.4639999999999999E-2</v>
      </c>
      <c r="V227" s="1469">
        <f>$D$154*'Расчет базового уровня'!$K$165*24/1000</f>
        <v>0</v>
      </c>
      <c r="W227" s="1470">
        <f t="shared" si="17"/>
        <v>0</v>
      </c>
      <c r="X227" s="1471"/>
      <c r="Y227" s="1467">
        <f t="shared" si="18"/>
        <v>0.27250666666666667</v>
      </c>
      <c r="Z227" s="1468">
        <f t="shared" si="19"/>
        <v>0.22786666666666666</v>
      </c>
      <c r="AA227" s="1468">
        <f t="shared" si="20"/>
        <v>0</v>
      </c>
      <c r="AB227" s="1468">
        <f t="shared" si="21"/>
        <v>4.4639999999999999E-2</v>
      </c>
      <c r="AC227" s="1469">
        <f t="shared" si="22"/>
        <v>0</v>
      </c>
      <c r="AD227" s="1469">
        <f t="shared" si="23"/>
        <v>4.4639999999999999E-2</v>
      </c>
      <c r="AE227" s="1469">
        <f t="shared" si="24"/>
        <v>0</v>
      </c>
      <c r="AF227" s="1468">
        <f t="shared" si="25"/>
        <v>0</v>
      </c>
      <c r="AG227" s="18"/>
      <c r="AH227" s="18"/>
    </row>
    <row r="228" spans="1:34" s="8" customFormat="1" x14ac:dyDescent="0.3">
      <c r="A228" s="1292"/>
      <c r="B228" s="1477">
        <f t="shared" si="26"/>
        <v>130</v>
      </c>
      <c r="C228" s="1352" t="s">
        <v>806</v>
      </c>
      <c r="D228" s="1515">
        <v>5.31</v>
      </c>
      <c r="E228" s="1515">
        <v>0</v>
      </c>
      <c r="F228" s="1515">
        <v>0.27106666666666668</v>
      </c>
      <c r="G228" s="1506"/>
      <c r="H228" s="1506"/>
      <c r="I228" s="1506"/>
      <c r="J228" s="1503"/>
      <c r="K228" s="1605"/>
      <c r="L228" s="1605"/>
      <c r="M228" s="74"/>
      <c r="N228" s="74"/>
      <c r="O228" s="74"/>
      <c r="P228" s="1467">
        <f t="shared" si="14"/>
        <v>0.27106666666666668</v>
      </c>
      <c r="Q228" s="1468">
        <f t="shared" si="15"/>
        <v>0.22786666666666666</v>
      </c>
      <c r="R228" s="1468">
        <f t="shared" si="27"/>
        <v>0</v>
      </c>
      <c r="S228" s="1469">
        <f t="shared" si="16"/>
        <v>4.3199999999999995E-2</v>
      </c>
      <c r="T228" s="1469">
        <f>$D$146*'Расчет базового уровня'!$L$146*24/1000</f>
        <v>0</v>
      </c>
      <c r="U228" s="1469">
        <f>$D$150*'Расчет базового уровня'!$L$170*24/1000</f>
        <v>4.3199999999999995E-2</v>
      </c>
      <c r="V228" s="1469">
        <f>$D$154*'Расчет базового уровня'!$L$165*24/1000</f>
        <v>0</v>
      </c>
      <c r="W228" s="1470">
        <f t="shared" si="17"/>
        <v>0</v>
      </c>
      <c r="X228" s="1471"/>
      <c r="Y228" s="1467">
        <f t="shared" si="18"/>
        <v>0.27106666666666668</v>
      </c>
      <c r="Z228" s="1468">
        <f t="shared" si="19"/>
        <v>0.22786666666666666</v>
      </c>
      <c r="AA228" s="1468">
        <f t="shared" si="20"/>
        <v>0</v>
      </c>
      <c r="AB228" s="1468">
        <f t="shared" si="21"/>
        <v>4.3199999999999995E-2</v>
      </c>
      <c r="AC228" s="1469">
        <f t="shared" si="22"/>
        <v>0</v>
      </c>
      <c r="AD228" s="1469">
        <f t="shared" si="23"/>
        <v>4.3199999999999995E-2</v>
      </c>
      <c r="AE228" s="1469">
        <f t="shared" si="24"/>
        <v>0</v>
      </c>
      <c r="AF228" s="1468">
        <f t="shared" si="25"/>
        <v>0</v>
      </c>
      <c r="AG228" s="18"/>
      <c r="AH228" s="18"/>
    </row>
    <row r="229" spans="1:34" s="8" customFormat="1" x14ac:dyDescent="0.3">
      <c r="A229" s="1292"/>
      <c r="B229" s="1477">
        <f t="shared" si="26"/>
        <v>131</v>
      </c>
      <c r="C229" s="1352" t="s">
        <v>807</v>
      </c>
      <c r="D229" s="1515">
        <v>7.26</v>
      </c>
      <c r="E229" s="1515">
        <v>0</v>
      </c>
      <c r="F229" s="1515">
        <v>0.25810666666666665</v>
      </c>
      <c r="G229" s="1506"/>
      <c r="H229" s="1506"/>
      <c r="I229" s="1506"/>
      <c r="J229" s="1503"/>
      <c r="K229" s="1605"/>
      <c r="L229" s="1605"/>
      <c r="M229" s="74"/>
      <c r="N229" s="74"/>
      <c r="O229" s="74"/>
      <c r="P229" s="1467">
        <f t="shared" si="14"/>
        <v>0.25810666666666665</v>
      </c>
      <c r="Q229" s="1468">
        <f t="shared" si="15"/>
        <v>0.22786666666666666</v>
      </c>
      <c r="R229" s="1468">
        <f t="shared" si="27"/>
        <v>0</v>
      </c>
      <c r="S229" s="1469">
        <f t="shared" si="16"/>
        <v>3.0240000000000003E-2</v>
      </c>
      <c r="T229" s="1469">
        <f>$D$146*'Расчет базового уровня'!$M$146*24/1000</f>
        <v>0</v>
      </c>
      <c r="U229" s="1469">
        <f>$D$150*'Расчет базового уровня'!$M$170*24/1000</f>
        <v>3.0240000000000003E-2</v>
      </c>
      <c r="V229" s="1469">
        <f>$D$154*'Расчет базового уровня'!$M$165*24/1000</f>
        <v>0</v>
      </c>
      <c r="W229" s="1470">
        <f t="shared" si="17"/>
        <v>0</v>
      </c>
      <c r="X229" s="1471"/>
      <c r="Y229" s="1467">
        <f t="shared" si="18"/>
        <v>0.25810666666666665</v>
      </c>
      <c r="Z229" s="1468">
        <f t="shared" si="19"/>
        <v>0.22786666666666666</v>
      </c>
      <c r="AA229" s="1468">
        <f t="shared" si="20"/>
        <v>0</v>
      </c>
      <c r="AB229" s="1468">
        <f t="shared" si="21"/>
        <v>3.0240000000000003E-2</v>
      </c>
      <c r="AC229" s="1469">
        <f t="shared" si="22"/>
        <v>0</v>
      </c>
      <c r="AD229" s="1469">
        <f t="shared" si="23"/>
        <v>3.0240000000000003E-2</v>
      </c>
      <c r="AE229" s="1469">
        <f t="shared" si="24"/>
        <v>0</v>
      </c>
      <c r="AF229" s="1468">
        <f t="shared" si="25"/>
        <v>0</v>
      </c>
      <c r="AG229" s="18"/>
      <c r="AH229" s="18"/>
    </row>
    <row r="230" spans="1:34" s="8" customFormat="1" x14ac:dyDescent="0.3">
      <c r="A230" s="1292"/>
      <c r="B230" s="1477">
        <f t="shared" si="26"/>
        <v>132</v>
      </c>
      <c r="C230" s="1352" t="s">
        <v>808</v>
      </c>
      <c r="D230" s="1515">
        <v>6.24</v>
      </c>
      <c r="E230" s="1515">
        <v>0</v>
      </c>
      <c r="F230" s="1515">
        <v>0.27250666666666667</v>
      </c>
      <c r="G230" s="1506"/>
      <c r="H230" s="1506"/>
      <c r="I230" s="1506"/>
      <c r="J230" s="1503"/>
      <c r="K230" s="1605"/>
      <c r="L230" s="1605"/>
      <c r="M230" s="74"/>
      <c r="N230" s="74"/>
      <c r="O230" s="74"/>
      <c r="P230" s="1467">
        <f t="shared" si="14"/>
        <v>0.27250666666666667</v>
      </c>
      <c r="Q230" s="1468">
        <f t="shared" si="15"/>
        <v>0.22786666666666666</v>
      </c>
      <c r="R230" s="1468">
        <f t="shared" si="27"/>
        <v>0</v>
      </c>
      <c r="S230" s="1469">
        <f t="shared" si="16"/>
        <v>4.4639999999999999E-2</v>
      </c>
      <c r="T230" s="1469">
        <f>$D$146*'Расчет базового уровня'!$N$146*24/1000</f>
        <v>0</v>
      </c>
      <c r="U230" s="1469">
        <f>$D$150*'Расчет базового уровня'!$N$170*24/1000</f>
        <v>4.4639999999999999E-2</v>
      </c>
      <c r="V230" s="1469">
        <f>$D$154*'Расчет базового уровня'!$N$165*24/1000</f>
        <v>0</v>
      </c>
      <c r="W230" s="1470">
        <f t="shared" si="17"/>
        <v>0</v>
      </c>
      <c r="X230" s="1471"/>
      <c r="Y230" s="1467">
        <f t="shared" si="18"/>
        <v>0.27250666666666667</v>
      </c>
      <c r="Z230" s="1468">
        <f t="shared" si="19"/>
        <v>0.22786666666666666</v>
      </c>
      <c r="AA230" s="1468">
        <f t="shared" si="20"/>
        <v>0</v>
      </c>
      <c r="AB230" s="1468">
        <f t="shared" si="21"/>
        <v>4.4639999999999999E-2</v>
      </c>
      <c r="AC230" s="1469">
        <f t="shared" si="22"/>
        <v>0</v>
      </c>
      <c r="AD230" s="1469">
        <f t="shared" si="23"/>
        <v>4.4639999999999999E-2</v>
      </c>
      <c r="AE230" s="1469">
        <f t="shared" si="24"/>
        <v>0</v>
      </c>
      <c r="AF230" s="1468">
        <f t="shared" si="25"/>
        <v>0</v>
      </c>
      <c r="AG230" s="18"/>
      <c r="AH230" s="18"/>
    </row>
    <row r="231" spans="1:34" s="8" customFormat="1" x14ac:dyDescent="0.3">
      <c r="A231" s="1292"/>
      <c r="B231" s="1477">
        <f t="shared" si="26"/>
        <v>133</v>
      </c>
      <c r="C231" s="1352" t="s">
        <v>809</v>
      </c>
      <c r="D231" s="1515">
        <v>5.88</v>
      </c>
      <c r="E231" s="1515">
        <v>0</v>
      </c>
      <c r="F231" s="1515">
        <v>0.27106666666666668</v>
      </c>
      <c r="G231" s="1506"/>
      <c r="H231" s="1506"/>
      <c r="I231" s="1506"/>
      <c r="J231" s="1503"/>
      <c r="K231" s="1605"/>
      <c r="L231" s="1605"/>
      <c r="M231" s="74"/>
      <c r="N231" s="74"/>
      <c r="O231" s="74"/>
      <c r="P231" s="1467">
        <f t="shared" si="14"/>
        <v>0.27106666666666668</v>
      </c>
      <c r="Q231" s="1468">
        <f t="shared" si="15"/>
        <v>0.22786666666666666</v>
      </c>
      <c r="R231" s="1468">
        <f t="shared" si="27"/>
        <v>0</v>
      </c>
      <c r="S231" s="1469">
        <f t="shared" si="16"/>
        <v>4.3199999999999995E-2</v>
      </c>
      <c r="T231" s="1469">
        <f>$D$146*'Расчет базового уровня'!$O$146*24/1000</f>
        <v>0</v>
      </c>
      <c r="U231" s="1469">
        <f>$D$150*'Расчет базового уровня'!$O$170*24/1000</f>
        <v>4.3199999999999995E-2</v>
      </c>
      <c r="V231" s="1469">
        <f>$D$154*'Расчет базового уровня'!$O$165*24/1000</f>
        <v>0</v>
      </c>
      <c r="W231" s="1470">
        <f t="shared" si="17"/>
        <v>0</v>
      </c>
      <c r="X231" s="1471"/>
      <c r="Y231" s="1467">
        <f t="shared" si="18"/>
        <v>0.27106666666666668</v>
      </c>
      <c r="Z231" s="1468">
        <f t="shared" si="19"/>
        <v>0.22786666666666666</v>
      </c>
      <c r="AA231" s="1468">
        <f t="shared" si="20"/>
        <v>0</v>
      </c>
      <c r="AB231" s="1468">
        <f t="shared" si="21"/>
        <v>4.3199999999999995E-2</v>
      </c>
      <c r="AC231" s="1469">
        <f t="shared" si="22"/>
        <v>0</v>
      </c>
      <c r="AD231" s="1469">
        <f t="shared" si="23"/>
        <v>4.3199999999999995E-2</v>
      </c>
      <c r="AE231" s="1469">
        <f t="shared" si="24"/>
        <v>0</v>
      </c>
      <c r="AF231" s="1468">
        <f t="shared" si="25"/>
        <v>0</v>
      </c>
      <c r="AG231" s="18"/>
      <c r="AH231" s="18"/>
    </row>
    <row r="232" spans="1:34" s="8" customFormat="1" x14ac:dyDescent="0.3">
      <c r="A232" s="1292"/>
      <c r="B232" s="1477">
        <f t="shared" si="26"/>
        <v>134</v>
      </c>
      <c r="C232" s="1352" t="s">
        <v>482</v>
      </c>
      <c r="D232" s="1515">
        <v>6.75</v>
      </c>
      <c r="E232" s="1515">
        <v>0</v>
      </c>
      <c r="F232" s="1515">
        <v>0.27250666666666667</v>
      </c>
      <c r="G232" s="1506"/>
      <c r="H232" s="1506"/>
      <c r="I232" s="1506"/>
      <c r="J232" s="1503"/>
      <c r="K232" s="1605"/>
      <c r="L232" s="1605"/>
      <c r="M232" s="74"/>
      <c r="N232" s="74"/>
      <c r="O232" s="74"/>
      <c r="P232" s="1467">
        <f t="shared" si="14"/>
        <v>0.27250666666666667</v>
      </c>
      <c r="Q232" s="1468">
        <f t="shared" si="15"/>
        <v>0.22786666666666666</v>
      </c>
      <c r="R232" s="1468">
        <f t="shared" si="27"/>
        <v>0</v>
      </c>
      <c r="S232" s="1469">
        <f t="shared" si="16"/>
        <v>4.4639999999999999E-2</v>
      </c>
      <c r="T232" s="1469">
        <f>$D$146*'Расчет базового уровня'!$P$146*24/1000</f>
        <v>0</v>
      </c>
      <c r="U232" s="1469">
        <f>$D$150*'Расчет базового уровня'!$P$170*24/1000</f>
        <v>4.4639999999999999E-2</v>
      </c>
      <c r="V232" s="1469">
        <f>$D$154*'Расчет базового уровня'!$P$165*24/1000</f>
        <v>0</v>
      </c>
      <c r="W232" s="1470">
        <f t="shared" si="17"/>
        <v>0</v>
      </c>
      <c r="X232" s="1471"/>
      <c r="Y232" s="1467">
        <f t="shared" si="18"/>
        <v>0.27250666666666667</v>
      </c>
      <c r="Z232" s="1468">
        <f t="shared" si="19"/>
        <v>0.22786666666666666</v>
      </c>
      <c r="AA232" s="1468">
        <f t="shared" si="20"/>
        <v>0</v>
      </c>
      <c r="AB232" s="1468">
        <f t="shared" si="21"/>
        <v>4.4639999999999999E-2</v>
      </c>
      <c r="AC232" s="1469">
        <f t="shared" si="22"/>
        <v>0</v>
      </c>
      <c r="AD232" s="1469">
        <f t="shared" si="23"/>
        <v>4.4639999999999999E-2</v>
      </c>
      <c r="AE232" s="1469">
        <f t="shared" si="24"/>
        <v>0</v>
      </c>
      <c r="AF232" s="1468">
        <f t="shared" si="25"/>
        <v>0</v>
      </c>
      <c r="AG232" s="18"/>
      <c r="AH232" s="18"/>
    </row>
    <row r="233" spans="1:34" s="8" customFormat="1" x14ac:dyDescent="0.3">
      <c r="A233" s="1292"/>
      <c r="B233" s="1477">
        <f t="shared" si="26"/>
        <v>135</v>
      </c>
      <c r="C233" s="1352" t="s">
        <v>486</v>
      </c>
      <c r="D233" s="1515">
        <v>7.68</v>
      </c>
      <c r="E233" s="1515">
        <v>0</v>
      </c>
      <c r="F233" s="1515">
        <v>0.27106666666666668</v>
      </c>
      <c r="G233" s="1506"/>
      <c r="H233" s="1506"/>
      <c r="I233" s="1506"/>
      <c r="J233" s="1503"/>
      <c r="K233" s="1605"/>
      <c r="L233" s="1605"/>
      <c r="M233" s="74"/>
      <c r="N233" s="74"/>
      <c r="O233" s="74"/>
      <c r="P233" s="1467">
        <f t="shared" si="14"/>
        <v>0.27106666666666668</v>
      </c>
      <c r="Q233" s="1468">
        <f t="shared" si="15"/>
        <v>0.22786666666666666</v>
      </c>
      <c r="R233" s="1468">
        <f t="shared" si="27"/>
        <v>0</v>
      </c>
      <c r="S233" s="1469">
        <f t="shared" si="16"/>
        <v>4.3199999999999995E-2</v>
      </c>
      <c r="T233" s="1469">
        <f>$D$146*'Расчет базового уровня'!$Q$146*24/1000</f>
        <v>0</v>
      </c>
      <c r="U233" s="1469">
        <f>$D$150*'Расчет базового уровня'!$Q$170*24/1000</f>
        <v>4.3199999999999995E-2</v>
      </c>
      <c r="V233" s="1469">
        <f>$D$154*'Расчет базового уровня'!$Q$165*24/1000</f>
        <v>0</v>
      </c>
      <c r="W233" s="1470">
        <f t="shared" si="17"/>
        <v>0</v>
      </c>
      <c r="X233" s="1471"/>
      <c r="Y233" s="1467">
        <f t="shared" si="18"/>
        <v>0.27106666666666668</v>
      </c>
      <c r="Z233" s="1468">
        <f t="shared" si="19"/>
        <v>0.22786666666666666</v>
      </c>
      <c r="AA233" s="1468">
        <f t="shared" si="20"/>
        <v>0</v>
      </c>
      <c r="AB233" s="1468">
        <f t="shared" si="21"/>
        <v>4.3199999999999995E-2</v>
      </c>
      <c r="AC233" s="1469">
        <f t="shared" si="22"/>
        <v>0</v>
      </c>
      <c r="AD233" s="1469">
        <f t="shared" si="23"/>
        <v>4.3199999999999995E-2</v>
      </c>
      <c r="AE233" s="1469">
        <f t="shared" si="24"/>
        <v>0</v>
      </c>
      <c r="AF233" s="1468">
        <f t="shared" si="25"/>
        <v>0</v>
      </c>
      <c r="AG233" s="18"/>
      <c r="AH233" s="18"/>
    </row>
    <row r="234" spans="1:34" s="8" customFormat="1" x14ac:dyDescent="0.3">
      <c r="A234" s="1292"/>
      <c r="B234" s="1477">
        <f t="shared" si="26"/>
        <v>136</v>
      </c>
      <c r="C234" s="1354" t="s">
        <v>487</v>
      </c>
      <c r="D234" s="1516">
        <v>7.83</v>
      </c>
      <c r="E234" s="1516">
        <v>0</v>
      </c>
      <c r="F234" s="1516">
        <v>0.27250666666666667</v>
      </c>
      <c r="G234" s="1507"/>
      <c r="H234" s="1507"/>
      <c r="I234" s="1507"/>
      <c r="J234" s="1504"/>
      <c r="K234" s="1605"/>
      <c r="L234" s="1605"/>
      <c r="M234" s="74"/>
      <c r="N234" s="74"/>
      <c r="O234" s="74"/>
      <c r="P234" s="1467">
        <f t="shared" si="14"/>
        <v>0.27250666666666667</v>
      </c>
      <c r="Q234" s="1468">
        <f t="shared" si="15"/>
        <v>0.22786666666666666</v>
      </c>
      <c r="R234" s="1468">
        <f t="shared" si="27"/>
        <v>0</v>
      </c>
      <c r="S234" s="1469">
        <f t="shared" si="16"/>
        <v>4.4639999999999999E-2</v>
      </c>
      <c r="T234" s="1469">
        <f>$D$146*'Расчет базового уровня'!$R$146*24/1000</f>
        <v>0</v>
      </c>
      <c r="U234" s="1469">
        <f>$D$150*'Расчет базового уровня'!$R$170*24/1000</f>
        <v>4.4639999999999999E-2</v>
      </c>
      <c r="V234" s="1469">
        <f>$D$154*'Расчет базового уровня'!$R$165*24/1000</f>
        <v>0</v>
      </c>
      <c r="W234" s="1470">
        <f t="shared" si="17"/>
        <v>0</v>
      </c>
      <c r="X234" s="1471"/>
      <c r="Y234" s="1467">
        <f t="shared" si="18"/>
        <v>0.27250666666666667</v>
      </c>
      <c r="Z234" s="1468">
        <f t="shared" si="19"/>
        <v>0.22786666666666666</v>
      </c>
      <c r="AA234" s="1468">
        <f t="shared" si="20"/>
        <v>0</v>
      </c>
      <c r="AB234" s="1468">
        <f t="shared" si="21"/>
        <v>4.4639999999999999E-2</v>
      </c>
      <c r="AC234" s="1469">
        <f t="shared" si="22"/>
        <v>0</v>
      </c>
      <c r="AD234" s="1469">
        <f t="shared" si="23"/>
        <v>4.4639999999999999E-2</v>
      </c>
      <c r="AE234" s="1469">
        <f t="shared" si="24"/>
        <v>0</v>
      </c>
      <c r="AF234" s="1468">
        <f t="shared" si="25"/>
        <v>0</v>
      </c>
      <c r="AG234" s="18"/>
      <c r="AH234" s="18"/>
    </row>
    <row r="235" spans="1:34" s="8" customFormat="1" x14ac:dyDescent="0.3">
      <c r="A235" s="1292"/>
      <c r="B235" s="1475"/>
      <c r="C235" s="1350" t="s">
        <v>1000</v>
      </c>
      <c r="D235" s="1431">
        <v>81.45</v>
      </c>
      <c r="E235" s="1431">
        <v>0</v>
      </c>
      <c r="F235" s="1431">
        <v>3.2455999999999996</v>
      </c>
      <c r="G235" s="1431">
        <v>0</v>
      </c>
      <c r="H235" s="1431">
        <v>0</v>
      </c>
      <c r="I235" s="1431">
        <v>0</v>
      </c>
      <c r="J235" s="1432">
        <v>0</v>
      </c>
      <c r="K235" s="1605"/>
      <c r="L235" s="1605"/>
      <c r="M235" s="74"/>
      <c r="N235" s="74"/>
      <c r="O235" s="74"/>
      <c r="P235" s="1472">
        <f>SUM(P223:P234)</f>
        <v>3.2455999999999996</v>
      </c>
      <c r="Q235" s="1473">
        <f>SUM(Q223:Q234)</f>
        <v>2.7343999999999991</v>
      </c>
      <c r="R235" s="1472">
        <f t="shared" ref="R235" si="28">SUM(R223:R234)</f>
        <v>0</v>
      </c>
      <c r="S235" s="1472">
        <f t="shared" ref="S235" si="29">SUM(S223:S234)</f>
        <v>0.51119999999999999</v>
      </c>
      <c r="T235" s="1472">
        <f t="shared" ref="T235" si="30">SUM(T223:T234)</f>
        <v>0</v>
      </c>
      <c r="U235" s="1472">
        <f t="shared" ref="U235" si="31">SUM(U223:U234)</f>
        <v>0.51119999999999999</v>
      </c>
      <c r="V235" s="1472">
        <f t="shared" ref="V235" si="32">SUM(V223:V234)</f>
        <v>0</v>
      </c>
      <c r="W235" s="1472">
        <f t="shared" ref="W235" si="33">SUM(W223:W234)</f>
        <v>0</v>
      </c>
      <c r="X235" s="1471"/>
      <c r="Y235" s="1467">
        <f t="shared" si="18"/>
        <v>3.2455999999999992</v>
      </c>
      <c r="Z235" s="1468">
        <f t="shared" si="19"/>
        <v>2.7343999999999991</v>
      </c>
      <c r="AA235" s="1468">
        <f t="shared" si="20"/>
        <v>0</v>
      </c>
      <c r="AB235" s="1468">
        <f t="shared" si="21"/>
        <v>0.51119999999999999</v>
      </c>
      <c r="AC235" s="1469">
        <f t="shared" si="22"/>
        <v>0</v>
      </c>
      <c r="AD235" s="1469">
        <f t="shared" si="23"/>
        <v>0.51119999999999999</v>
      </c>
      <c r="AE235" s="1469">
        <f t="shared" si="24"/>
        <v>0</v>
      </c>
      <c r="AF235" s="1468">
        <f t="shared" si="25"/>
        <v>0</v>
      </c>
      <c r="AG235" s="18"/>
      <c r="AH235" s="18"/>
    </row>
    <row r="236" spans="1:34" s="8" customFormat="1" ht="29.25" customHeight="1" x14ac:dyDescent="0.3">
      <c r="A236" s="1292"/>
      <c r="B236" s="1475"/>
      <c r="C236" s="10"/>
      <c r="D236" s="10"/>
      <c r="E236" s="1513" t="str">
        <f>IF(E235&gt;10000,"Вводите показания в ТЫС кВтч","")</f>
        <v/>
      </c>
      <c r="F236" s="1598"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8"/>
      <c r="H236" s="1598"/>
      <c r="I236" s="1598"/>
      <c r="J236" s="1598"/>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600" t="s">
        <v>1431</v>
      </c>
      <c r="D239" s="1600"/>
      <c r="E239" s="160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1865</v>
      </c>
      <c r="D240" s="1413" t="s">
        <v>536</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7" t="s">
        <v>1281</v>
      </c>
      <c r="D242" s="1577"/>
      <c r="E242" s="1577"/>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1869</v>
      </c>
      <c r="D244" s="1409" t="s">
        <v>1867</v>
      </c>
      <c r="E244" s="1371">
        <v>42649</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1870</v>
      </c>
      <c r="D245" s="1371">
        <v>42475</v>
      </c>
      <c r="E245" s="1371"/>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1871</v>
      </c>
      <c r="D246" s="1578">
        <f>IF(OR(AND(ISBLANK(E245),ISBLANK(D245)),ISBLANK(E244)),0,IF(E245="",(DATE(E240-1,12,31)-E244+D245-DATE(E240-1,1,1)),E245-E244))</f>
        <v>191</v>
      </c>
      <c r="E246" s="1579"/>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42475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74" t="s">
        <v>995</v>
      </c>
      <c r="D250" s="1603" t="s">
        <v>1836</v>
      </c>
      <c r="E250" s="1604"/>
      <c r="F250" s="1574" t="s">
        <v>1837</v>
      </c>
      <c r="G250" s="1574"/>
      <c r="H250" s="1575" t="s">
        <v>1282</v>
      </c>
      <c r="I250" s="1576" t="s">
        <v>1287</v>
      </c>
      <c r="J250" s="1576" t="s">
        <v>1288</v>
      </c>
      <c r="K250" s="1601"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74"/>
      <c r="D251" s="1361" t="s">
        <v>1002</v>
      </c>
      <c r="E251" s="1361" t="s">
        <v>1283</v>
      </c>
      <c r="F251" s="1361" t="s">
        <v>1284</v>
      </c>
      <c r="G251" s="1361" t="s">
        <v>1285</v>
      </c>
      <c r="H251" s="1575"/>
      <c r="I251" s="1576"/>
      <c r="J251" s="1576"/>
      <c r="K251" s="1602"/>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-2.2000000000000002</v>
      </c>
      <c r="E252" s="1518">
        <v>-1.7</v>
      </c>
      <c r="F252" s="1447">
        <f>Климатология!AL2</f>
        <v>688.19999999999993</v>
      </c>
      <c r="G252" s="1447">
        <f>($D$83-IF(I252&lt;0.5*J252,8,E252))*I252</f>
        <v>672.69999999999993</v>
      </c>
      <c r="H252" s="1451">
        <f>IF(G252=0,0,F252/G252)</f>
        <v>1.0230414746543779</v>
      </c>
      <c r="I252" s="1447">
        <v>31</v>
      </c>
      <c r="J252" s="1447">
        <v>31</v>
      </c>
      <c r="K252" s="1452">
        <f>IF(I252&lt;0.5*J252,8,E252)*I252</f>
        <v>-52.699999999999996</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-1.7</v>
      </c>
      <c r="E253" s="1519">
        <v>-0.4</v>
      </c>
      <c r="F253" s="1448">
        <f>Климатология!AP2</f>
        <v>607.6</v>
      </c>
      <c r="G253" s="1448">
        <f t="shared" ref="G253:G255" si="34">($D$83-IF(I253&lt;0.5*J253,8,E253))*I253</f>
        <v>571.19999999999993</v>
      </c>
      <c r="H253" s="1453">
        <f t="shared" ref="H253:H264" si="35">IF(G253=0,0,F253/G253)</f>
        <v>1.0637254901960786</v>
      </c>
      <c r="I253" s="1448">
        <f>IF(MONTH($D$249)=2,DAY($D$249),IF(MONTH($D$249)&lt;2,0,J253))</f>
        <v>28</v>
      </c>
      <c r="J253" s="1448">
        <v>28</v>
      </c>
      <c r="K253" s="1454">
        <f t="shared" ref="K253:K263" si="36">IF(I253&lt;0.5*J253,8,E253)*I253</f>
        <v>-11.200000000000001</v>
      </c>
      <c r="L253" s="1360">
        <f t="shared" ref="L253:L264" si="37">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38">B253+1</f>
        <v>142</v>
      </c>
      <c r="C254" s="1363" t="s">
        <v>490</v>
      </c>
      <c r="D254" s="1448">
        <f>Климатология!AQ2</f>
        <v>1.7</v>
      </c>
      <c r="E254" s="1519">
        <v>3.7</v>
      </c>
      <c r="F254" s="1448">
        <f>Климатология!AT2</f>
        <v>567.30000000000007</v>
      </c>
      <c r="G254" s="1448">
        <f t="shared" si="34"/>
        <v>505.3</v>
      </c>
      <c r="H254" s="1453">
        <f t="shared" si="35"/>
        <v>1.1226993865030677</v>
      </c>
      <c r="I254" s="1448">
        <f>IF(MONTH($D$249)=3,DAY($D$249),IF(MONTH($D$249)&lt;3,0,J254))</f>
        <v>31</v>
      </c>
      <c r="J254" s="1448">
        <v>31</v>
      </c>
      <c r="K254" s="1454">
        <f t="shared" si="36"/>
        <v>114.7</v>
      </c>
      <c r="L254" s="1360">
        <f t="shared" si="37"/>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38"/>
        <v>143</v>
      </c>
      <c r="C255" s="1363" t="s">
        <v>491</v>
      </c>
      <c r="D255" s="1448">
        <f>Климатология!AU2</f>
        <v>6.7</v>
      </c>
      <c r="E255" s="1519">
        <v>8.1999999999999993</v>
      </c>
      <c r="F255" s="1448">
        <f>Климатология!AX2</f>
        <v>246.05</v>
      </c>
      <c r="G255" s="1448">
        <f t="shared" si="34"/>
        <v>177</v>
      </c>
      <c r="H255" s="1453">
        <f t="shared" si="35"/>
        <v>1.3901129943502826</v>
      </c>
      <c r="I255" s="1448">
        <f>IF(MONTH($D$249)=4,DAY($D$249),IF(MONTH($D$249)&lt;4,0,J255))</f>
        <v>15</v>
      </c>
      <c r="J255" s="1448">
        <v>30</v>
      </c>
      <c r="K255" s="1454">
        <f t="shared" si="36"/>
        <v>122.99999999999999</v>
      </c>
      <c r="L255" s="1360">
        <f t="shared" si="37"/>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38"/>
        <v>144</v>
      </c>
      <c r="C256" s="1363" t="s">
        <v>805</v>
      </c>
      <c r="D256" s="1448">
        <f>Климатология!AY2</f>
        <v>12.2</v>
      </c>
      <c r="E256" s="1519">
        <v>15</v>
      </c>
      <c r="F256" s="1448">
        <f>Климатология!BB2</f>
        <v>0</v>
      </c>
      <c r="G256" s="1448">
        <f t="shared" ref="G256:G261" si="39">($D$83-IF(I256&lt;0.5*J256,8,E256))*I256</f>
        <v>0</v>
      </c>
      <c r="H256" s="1453">
        <f t="shared" si="35"/>
        <v>0</v>
      </c>
      <c r="I256" s="1448">
        <f>IF(MONTH($D$249)=5,DAY($D$249),IF(MONTH($D$249)&lt;5,0,J256))</f>
        <v>0</v>
      </c>
      <c r="J256" s="1448">
        <v>31</v>
      </c>
      <c r="K256" s="1454">
        <f t="shared" si="36"/>
        <v>0</v>
      </c>
      <c r="L256" s="1360">
        <f t="shared" si="37"/>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38"/>
        <v>145</v>
      </c>
      <c r="C257" s="1363" t="s">
        <v>806</v>
      </c>
      <c r="D257" s="1448">
        <f>Климатология!BC2</f>
        <v>15.6</v>
      </c>
      <c r="E257" s="1519">
        <v>17.5</v>
      </c>
      <c r="F257" s="1448">
        <f>Климатология!BF2</f>
        <v>0</v>
      </c>
      <c r="G257" s="1448">
        <f t="shared" si="39"/>
        <v>0</v>
      </c>
      <c r="H257" s="1453">
        <f t="shared" si="35"/>
        <v>0</v>
      </c>
      <c r="I257" s="1448">
        <f>IF(MONTH($D$249)=6,DAY($D$249),IF(MONTH($D$249)&lt;6,0,J257))</f>
        <v>0</v>
      </c>
      <c r="J257" s="1448">
        <v>30</v>
      </c>
      <c r="K257" s="1454">
        <f t="shared" si="36"/>
        <v>0</v>
      </c>
      <c r="L257" s="1360">
        <f t="shared" si="37"/>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38"/>
        <v>146</v>
      </c>
      <c r="C258" s="1363" t="s">
        <v>807</v>
      </c>
      <c r="D258" s="1448">
        <f>Климатология!K2</f>
        <v>17.7</v>
      </c>
      <c r="E258" s="1519">
        <v>18.8</v>
      </c>
      <c r="F258" s="1448">
        <f>Климатология!N2</f>
        <v>0</v>
      </c>
      <c r="G258" s="1448">
        <f t="shared" si="39"/>
        <v>0</v>
      </c>
      <c r="H258" s="1453">
        <f t="shared" si="35"/>
        <v>0</v>
      </c>
      <c r="I258" s="1448">
        <f>IF(MONTH($D$249)=7,DAY($D$249),IF(MONTH($D$249)&lt;7,0,J258))</f>
        <v>0</v>
      </c>
      <c r="J258" s="1448">
        <v>31</v>
      </c>
      <c r="K258" s="1454">
        <f t="shared" si="36"/>
        <v>0</v>
      </c>
      <c r="L258" s="1360">
        <f t="shared" si="37"/>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38"/>
        <v>147</v>
      </c>
      <c r="C259" s="1363" t="s">
        <v>808</v>
      </c>
      <c r="D259" s="1448">
        <f>Климатология!O2</f>
        <v>17.3</v>
      </c>
      <c r="E259" s="1519">
        <v>17.5</v>
      </c>
      <c r="F259" s="1448">
        <f>Климатология!R2</f>
        <v>0</v>
      </c>
      <c r="G259" s="1448">
        <f t="shared" si="39"/>
        <v>0</v>
      </c>
      <c r="H259" s="1453">
        <f t="shared" si="35"/>
        <v>0</v>
      </c>
      <c r="I259" s="1448">
        <f>IF(MONTH($E$244)=8,J259-DAY($E$244),IF(MONTH($E$244)&lt;8,J259,0))</f>
        <v>0</v>
      </c>
      <c r="J259" s="1448">
        <v>31</v>
      </c>
      <c r="K259" s="1454">
        <f t="shared" si="36"/>
        <v>0</v>
      </c>
      <c r="L259" s="1360">
        <f t="shared" si="37"/>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38"/>
        <v>148</v>
      </c>
      <c r="C260" s="1363" t="s">
        <v>809</v>
      </c>
      <c r="D260" s="1448">
        <f>Климатология!S2</f>
        <v>12.9</v>
      </c>
      <c r="E260" s="1519">
        <v>14.6</v>
      </c>
      <c r="F260" s="1448">
        <f>Климатология!V2</f>
        <v>0</v>
      </c>
      <c r="G260" s="1448">
        <f t="shared" si="39"/>
        <v>0</v>
      </c>
      <c r="H260" s="1453">
        <f t="shared" si="35"/>
        <v>0</v>
      </c>
      <c r="I260" s="1448">
        <f>IF(MONTH($E$244)=9,J260-DAY($E$244),IF(MONTH($E$244)&lt;9,J260,0))</f>
        <v>0</v>
      </c>
      <c r="J260" s="1448">
        <v>30</v>
      </c>
      <c r="K260" s="1454">
        <f t="shared" si="36"/>
        <v>0</v>
      </c>
      <c r="L260" s="1360">
        <f t="shared" si="37"/>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38"/>
        <v>149</v>
      </c>
      <c r="C261" s="1363" t="s">
        <v>482</v>
      </c>
      <c r="D261" s="1448">
        <f>Климатология!W2</f>
        <v>8.3000000000000007</v>
      </c>
      <c r="E261" s="1519">
        <v>6.5</v>
      </c>
      <c r="F261" s="1448">
        <f>Климатология!Z2</f>
        <v>216.45</v>
      </c>
      <c r="G261" s="1448">
        <f t="shared" si="39"/>
        <v>337.5</v>
      </c>
      <c r="H261" s="1453">
        <f t="shared" si="35"/>
        <v>0.64133333333333331</v>
      </c>
      <c r="I261" s="1448">
        <f>IF(MONTH(E244)=10,J261-DAY(E244),IF(MONTH(E244)&lt;10,J261,0))</f>
        <v>25</v>
      </c>
      <c r="J261" s="1448">
        <v>31</v>
      </c>
      <c r="K261" s="1454">
        <f t="shared" si="36"/>
        <v>162.5</v>
      </c>
      <c r="L261" s="1360">
        <f t="shared" si="37"/>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38"/>
        <v>150</v>
      </c>
      <c r="C262" s="1363" t="s">
        <v>486</v>
      </c>
      <c r="D262" s="1448">
        <f>Климатология!AA2</f>
        <v>3.4</v>
      </c>
      <c r="E262" s="1519">
        <v>3.6</v>
      </c>
      <c r="F262" s="1454">
        <f>Климатология!AD2</f>
        <v>498.00000000000006</v>
      </c>
      <c r="G262" s="1448">
        <f t="shared" ref="G262:G263" si="40">($D$83-IF(I262&lt;0.5*J262,8,E262))*I262</f>
        <v>491.99999999999994</v>
      </c>
      <c r="H262" s="1453">
        <f t="shared" si="35"/>
        <v>1.0121951219512197</v>
      </c>
      <c r="I262" s="1448">
        <f>IF(MONTH(D249)=11,J262-DAY(D249),IF(MONTH(D249)&lt;11,J262,0))</f>
        <v>30</v>
      </c>
      <c r="J262" s="1448">
        <v>30</v>
      </c>
      <c r="K262" s="1454">
        <f>IF(I262&lt;0.5*J262,8,E262)*I262</f>
        <v>108</v>
      </c>
      <c r="L262" s="1360">
        <f t="shared" si="37"/>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38"/>
        <v>151</v>
      </c>
      <c r="C263" s="1364" t="s">
        <v>487</v>
      </c>
      <c r="D263" s="1449">
        <f>Климатология!AE2</f>
        <v>-0.4</v>
      </c>
      <c r="E263" s="1520">
        <v>2.5</v>
      </c>
      <c r="F263" s="1449">
        <f>Климатология!AH2</f>
        <v>632.4</v>
      </c>
      <c r="G263" s="1449">
        <f t="shared" si="40"/>
        <v>542.5</v>
      </c>
      <c r="H263" s="1455">
        <f t="shared" si="35"/>
        <v>1.1657142857142857</v>
      </c>
      <c r="I263" s="1449">
        <f>IF(MONTH(D249)=12,J263-DAY(D249),IF(MONTH(D249)&lt;12,J263,0))</f>
        <v>31</v>
      </c>
      <c r="J263" s="1449">
        <v>31</v>
      </c>
      <c r="K263" s="1456">
        <f t="shared" si="36"/>
        <v>77.5</v>
      </c>
      <c r="L263" s="1360">
        <f t="shared" si="37"/>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1.2</v>
      </c>
      <c r="E264" s="1433">
        <v>2.7319371727748689</v>
      </c>
      <c r="F264" s="1450">
        <f>Климатология!I2</f>
        <v>3534.4</v>
      </c>
      <c r="G264" s="1457">
        <f>($D$83-E264)*D246</f>
        <v>3298.2</v>
      </c>
      <c r="H264" s="1458">
        <f t="shared" si="35"/>
        <v>1.0716148202049605</v>
      </c>
      <c r="I264" s="1457"/>
      <c r="J264" s="1457"/>
      <c r="K264" s="1459">
        <f>IF(D246&lt;&gt;0,SUM(K252:K263)/D246,"")</f>
        <v>2.7319371727748689</v>
      </c>
      <c r="L264" s="1360">
        <f t="shared" si="37"/>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83" t="s">
        <v>1317</v>
      </c>
      <c r="D266" s="158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477">
        <f>B263+1</f>
        <v>152</v>
      </c>
      <c r="C270" s="1368">
        <v>2127.39</v>
      </c>
      <c r="D270" s="1368">
        <v>3.74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99" t="s">
        <v>1643</v>
      </c>
      <c r="D274" s="1599"/>
      <c r="E274" s="1599"/>
      <c r="F274" s="159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8" si="41">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1"/>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1"/>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1"/>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528">
        <v>11</v>
      </c>
      <c r="D286" s="14" t="s">
        <v>1648</v>
      </c>
      <c r="E286" s="1461" t="str">
        <f>CONCATENATE(D247,E247)</f>
        <v/>
      </c>
      <c r="F286" s="1462" t="str">
        <f t="shared" si="41"/>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1"/>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3">
      <c r="A288" s="1292"/>
      <c r="B288" s="1475"/>
      <c r="C288" s="1528">
        <v>13</v>
      </c>
      <c r="D288" s="14" t="s">
        <v>1644</v>
      </c>
      <c r="E288" s="1461" t="str">
        <f>IF(E270="","","Введите тарифы")</f>
        <v/>
      </c>
      <c r="F288" s="1462" t="str">
        <f t="shared" si="41"/>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 x14ac:dyDescent="0.35">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3">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5">
      <c r="B291" s="1475"/>
      <c r="C291" s="154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1" s="1546"/>
      <c r="E291" s="1546"/>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5">
      <c r="B292" s="1476" t="str">
        <f>IF(E289="Ошибок нет","8/8","?/?")</f>
        <v>8/8</v>
      </c>
      <c r="C292" s="1582" t="str">
        <f>IF(AND(E289="Ошибок нет",C291=""),"ГОТОВО!   Переходите на лист "&amp;CHAR(34)&amp;"Список мероприятий"&amp;CHAR(34),"")</f>
        <v>ГОТОВО!   Переходите на лист "Список мероприятий"</v>
      </c>
      <c r="D292" s="1582"/>
      <c r="E292" s="158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3">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F24" sqref="F24"/>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83" t="s">
        <v>1661</v>
      </c>
      <c r="C1" s="1683"/>
      <c r="D1" s="1683"/>
      <c r="F1" s="1627" t="s">
        <v>1654</v>
      </c>
      <c r="G1" s="1627"/>
      <c r="H1" s="1627"/>
      <c r="I1" s="42"/>
      <c r="AB1" s="1170"/>
      <c r="AC1" s="1170"/>
    </row>
    <row r="2" spans="1:45" ht="71.25" customHeight="1" x14ac:dyDescent="0.3">
      <c r="A2" s="1379" t="s">
        <v>1842</v>
      </c>
      <c r="B2" s="74"/>
      <c r="C2" s="1667" t="s">
        <v>1476</v>
      </c>
      <c r="D2" s="1667"/>
      <c r="E2" s="1182" t="s">
        <v>1256</v>
      </c>
      <c r="F2" s="1376" t="s">
        <v>1843</v>
      </c>
      <c r="G2" s="1377" t="s">
        <v>1844</v>
      </c>
      <c r="H2" s="1378" t="s">
        <v>1369</v>
      </c>
      <c r="I2" s="1378" t="s">
        <v>1367</v>
      </c>
      <c r="J2" s="1378" t="s">
        <v>1901</v>
      </c>
      <c r="K2" s="1378" t="s">
        <v>1368</v>
      </c>
      <c r="L2" s="1182" t="s">
        <v>1257</v>
      </c>
      <c r="M2" s="74"/>
      <c r="N2" s="74"/>
      <c r="O2" s="1672" t="s">
        <v>1524</v>
      </c>
      <c r="P2" s="1673"/>
      <c r="Q2" s="1674"/>
      <c r="R2" s="1666" t="s">
        <v>1486</v>
      </c>
      <c r="S2" s="1666"/>
      <c r="T2" s="1666" t="s">
        <v>1487</v>
      </c>
      <c r="U2" s="1666"/>
      <c r="V2" s="1671" t="s">
        <v>1488</v>
      </c>
      <c r="W2" s="1671"/>
      <c r="X2" s="1666" t="s">
        <v>1493</v>
      </c>
      <c r="Y2" s="1666"/>
      <c r="Z2" s="74" t="s">
        <v>1503</v>
      </c>
      <c r="AA2" s="1183" t="s">
        <v>894</v>
      </c>
      <c r="AB2" s="1638" t="s">
        <v>896</v>
      </c>
      <c r="AC2" s="1638"/>
      <c r="AD2" s="1184" t="s">
        <v>895</v>
      </c>
      <c r="AF2" s="74"/>
      <c r="AG2" s="74"/>
      <c r="AH2" s="74"/>
      <c r="AI2" s="74"/>
      <c r="AJ2" s="74"/>
      <c r="AK2" s="74"/>
      <c r="AL2" s="74"/>
      <c r="AM2" s="74"/>
      <c r="AN2" s="74"/>
      <c r="AO2" s="74"/>
      <c r="AP2" s="74"/>
      <c r="AQ2" s="74"/>
      <c r="AR2" s="74"/>
      <c r="AS2" s="74"/>
    </row>
    <row r="3" spans="1:45" ht="20.25" customHeight="1" x14ac:dyDescent="0.3">
      <c r="A3" s="74"/>
      <c r="B3" s="74"/>
      <c r="C3" s="74"/>
      <c r="D3" s="1658" t="s">
        <v>1521</v>
      </c>
      <c r="E3" s="1658"/>
      <c r="F3" s="1658"/>
      <c r="G3" s="1658"/>
      <c r="H3" s="1658"/>
      <c r="I3" s="1658"/>
      <c r="J3" s="1658"/>
      <c r="K3" s="1658"/>
      <c r="L3" s="1658"/>
      <c r="M3" s="74"/>
      <c r="N3" s="74"/>
      <c r="O3" s="1668" t="s">
        <v>1523</v>
      </c>
      <c r="P3" s="1669"/>
      <c r="Q3" s="1670"/>
      <c r="R3" s="1666" t="s">
        <v>1486</v>
      </c>
      <c r="S3" s="1666"/>
      <c r="T3" s="1666" t="s">
        <v>1487</v>
      </c>
      <c r="U3" s="1666"/>
      <c r="V3" s="1671" t="s">
        <v>1488</v>
      </c>
      <c r="W3" s="1671"/>
      <c r="X3" s="1666" t="s">
        <v>1493</v>
      </c>
      <c r="Y3" s="166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39%!</v>
      </c>
      <c r="D4" s="166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5" t="str">
        <f>'Ввод исходных данных'!G206</f>
        <v>Средний на человека расход воды в сутки ниже норматива на -26%.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5"/>
      <c r="H4" s="1665"/>
      <c r="I4" s="1665"/>
      <c r="J4" s="1665"/>
      <c r="K4" s="1665"/>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0.30764259809072253</v>
      </c>
      <c r="T6" s="1194"/>
      <c r="U6" s="1195">
        <f>U7+U31+U36</f>
        <v>8.3333333333333162E-2</v>
      </c>
      <c r="V6" s="1194"/>
      <c r="W6" s="1196">
        <f>W7+W31+W36+W18+W54+W60+W71</f>
        <v>0.23114468110689107</v>
      </c>
      <c r="X6" s="1196"/>
      <c r="Y6" s="1196">
        <f>Y54+Y71+Y31</f>
        <v>-0.20439544215699598</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8" t="s">
        <v>1848</v>
      </c>
      <c r="F8" s="1380" t="s">
        <v>1845</v>
      </c>
      <c r="G8" s="1380" t="s">
        <v>1310</v>
      </c>
      <c r="H8" s="1380" t="s">
        <v>1309</v>
      </c>
      <c r="I8" s="1380" t="s">
        <v>1309</v>
      </c>
      <c r="J8" s="1380" t="s">
        <v>1309</v>
      </c>
      <c r="K8" s="1380" t="s">
        <v>1309</v>
      </c>
      <c r="L8" s="164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1922</v>
      </c>
      <c r="E9" s="1655"/>
      <c r="F9" s="1685">
        <f>'Расчет базового уровня'!B134</f>
        <v>1217.9000000000001</v>
      </c>
      <c r="G9" s="1632"/>
      <c r="H9" s="1635">
        <f>I9+J9+K9</f>
        <v>0</v>
      </c>
      <c r="I9" s="1634"/>
      <c r="J9" s="1634">
        <f>IF(AB9=1,G9*F9,0)</f>
        <v>0</v>
      </c>
      <c r="K9" s="1634"/>
      <c r="L9" s="1644"/>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1269</v>
      </c>
      <c r="E10" s="1655"/>
      <c r="F10" s="1686"/>
      <c r="G10" s="1688"/>
      <c r="H10" s="1635"/>
      <c r="I10" s="1634"/>
      <c r="J10" s="1634"/>
      <c r="K10" s="1634"/>
      <c r="L10" s="1644"/>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t="s">
        <v>1268</v>
      </c>
      <c r="E11" s="1655"/>
      <c r="F11" s="1687"/>
      <c r="G11" s="1633"/>
      <c r="H11" s="1635"/>
      <c r="I11" s="1634"/>
      <c r="J11" s="1634"/>
      <c r="K11" s="1634"/>
      <c r="L11" s="1645"/>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1923</v>
      </c>
      <c r="E12" s="1629"/>
      <c r="F12" s="1276">
        <f>F9</f>
        <v>1217.9000000000001</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3">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1924</v>
      </c>
      <c r="E14" s="1628"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9"/>
      <c r="F15" s="1275">
        <f>'Ввод исходных данных'!G55</f>
        <v>46</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3">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3">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8" t="s">
        <v>1847</v>
      </c>
      <c r="F19" s="1380" t="s">
        <v>1845</v>
      </c>
      <c r="G19" s="1380" t="s">
        <v>1310</v>
      </c>
      <c r="H19" s="1380" t="s">
        <v>1309</v>
      </c>
      <c r="I19" s="1380" t="s">
        <v>1309</v>
      </c>
      <c r="J19" s="1380" t="s">
        <v>1309</v>
      </c>
      <c r="K19" s="1380" t="s">
        <v>1309</v>
      </c>
      <c r="L19" s="1640"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1925</v>
      </c>
      <c r="E20" s="1655"/>
      <c r="F20" s="1639">
        <f>'Расчет базового уровня'!B138</f>
        <v>0</v>
      </c>
      <c r="G20" s="1634"/>
      <c r="H20" s="1635">
        <f>I20+J20+K20</f>
        <v>0</v>
      </c>
      <c r="I20" s="1634"/>
      <c r="J20" s="1634">
        <f>IF(AB20=1,G20*F20,0)</f>
        <v>0</v>
      </c>
      <c r="K20" s="1634"/>
      <c r="L20" s="1641"/>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55"/>
      <c r="F21" s="1634"/>
      <c r="G21" s="1634"/>
      <c r="H21" s="1635"/>
      <c r="I21" s="1634"/>
      <c r="J21" s="1634"/>
      <c r="K21" s="1634"/>
      <c r="L21" s="1641"/>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9"/>
      <c r="F22" s="1634"/>
      <c r="G22" s="1634"/>
      <c r="H22" s="1635"/>
      <c r="I22" s="1634"/>
      <c r="J22" s="1634"/>
      <c r="K22" s="1634"/>
      <c r="L22" s="1642"/>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3">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3">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8" t="s">
        <v>1849</v>
      </c>
      <c r="F26" s="1380" t="s">
        <v>1845</v>
      </c>
      <c r="G26" s="1380" t="s">
        <v>1310</v>
      </c>
      <c r="H26" s="1380" t="s">
        <v>1309</v>
      </c>
      <c r="I26" s="1380" t="s">
        <v>1309</v>
      </c>
      <c r="J26" s="1380" t="s">
        <v>1309</v>
      </c>
      <c r="K26" s="1380" t="s">
        <v>1309</v>
      </c>
      <c r="L26" s="164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1927</v>
      </c>
      <c r="E27" s="1655"/>
      <c r="F27" s="1639">
        <f>'Расчет базового уровня'!B139+'Расчет базового уровня'!B140</f>
        <v>528</v>
      </c>
      <c r="G27" s="1639">
        <v>528</v>
      </c>
      <c r="H27" s="1635">
        <f>I27+J27+K27</f>
        <v>0</v>
      </c>
      <c r="I27" s="1634"/>
      <c r="J27" s="1634">
        <f>IF(AB27=1,G27*F27,0)</f>
        <v>0</v>
      </c>
      <c r="K27" s="1634"/>
      <c r="L27" s="164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1</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55"/>
      <c r="F28" s="1634"/>
      <c r="G28" s="1634"/>
      <c r="H28" s="1635"/>
      <c r="I28" s="1634"/>
      <c r="J28" s="1634"/>
      <c r="K28" s="1634"/>
      <c r="L28" s="164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9"/>
      <c r="F29" s="1634"/>
      <c r="G29" s="1634"/>
      <c r="H29" s="1635"/>
      <c r="I29" s="1634"/>
      <c r="J29" s="1634"/>
      <c r="K29" s="1634"/>
      <c r="L29" s="164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3">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-663.38584706474592</v>
      </c>
      <c r="R31" s="1224">
        <f>R32+R34+R35</f>
        <v>0.27879978103936642</v>
      </c>
      <c r="S31" s="1224">
        <f>S32+S34+S35</f>
        <v>0.27879978103936642</v>
      </c>
      <c r="T31" s="1225"/>
      <c r="U31" s="1224">
        <f>U32+U34+U35</f>
        <v>0</v>
      </c>
      <c r="V31" s="1225"/>
      <c r="W31" s="1224">
        <f>W32+W34+W35</f>
        <v>0.18371854340913496</v>
      </c>
      <c r="X31" s="1224">
        <f>X32</f>
        <v>-0.20439544215699598</v>
      </c>
      <c r="Y31" s="1224">
        <f>Y32</f>
        <v>-0.20439544215699598</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1928</v>
      </c>
      <c r="E32" s="1681" t="s">
        <v>1850</v>
      </c>
      <c r="F32" s="1634">
        <v>1</v>
      </c>
      <c r="G32" s="1639">
        <v>496000</v>
      </c>
      <c r="H32" s="1635">
        <f>I32+J32+K32</f>
        <v>496000</v>
      </c>
      <c r="I32" s="1634"/>
      <c r="J32" s="1634">
        <f>IF(AB32=1,G32*F32,0)</f>
        <v>496000</v>
      </c>
      <c r="K32" s="1634"/>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107.28391317211162</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-663.38584706474592</v>
      </c>
      <c r="R32" s="1209">
        <f>O32/'Расчет базового уровня'!$D$35*1163</f>
        <v>0.27879978103936642</v>
      </c>
      <c r="S32" s="1210">
        <f>R32</f>
        <v>0.27879978103936642</v>
      </c>
      <c r="T32" s="1209">
        <f>IF('Система ГВС'!F3=2,0,P32/'Расчет базового уровня'!$D$85*1163)</f>
        <v>0</v>
      </c>
      <c r="U32" s="1210">
        <f>T32*(1-U39)</f>
        <v>0</v>
      </c>
      <c r="V32" s="1209">
        <f>(O32+P32)/'Расчет базового уровня'!$D$9*1163</f>
        <v>0.18371854340913496</v>
      </c>
      <c r="W32" s="1211">
        <f>(S32*'Расчет базового уровня'!$D$35+'Список мероприятий'!U32*'Расчет базового уровня'!$D$15)/'Расчет базового уровня'!$D$9</f>
        <v>0.18371854340913496</v>
      </c>
      <c r="X32" s="1209">
        <f>Q32/'Расчет базового уровня'!$D$100</f>
        <v>-0.20439544215699598</v>
      </c>
      <c r="Y32" s="1211">
        <f>X32</f>
        <v>-0.20439544215699598</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1267</v>
      </c>
      <c r="E33" s="1682"/>
      <c r="F33" s="1634"/>
      <c r="G33" s="1634"/>
      <c r="H33" s="1635"/>
      <c r="I33" s="1634"/>
      <c r="J33" s="1634"/>
      <c r="K33" s="1634"/>
      <c r="L33" s="1657"/>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0</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1929</v>
      </c>
      <c r="E35" s="1230" t="s">
        <v>1483</v>
      </c>
      <c r="F35" s="1275"/>
      <c r="G35" s="1275"/>
      <c r="H35" s="1509">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0</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2.8842817051356131E-2</v>
      </c>
      <c r="T36" s="1225"/>
      <c r="U36" s="1235">
        <f>U37+U38+U39</f>
        <v>8.3333333333333162E-2</v>
      </c>
      <c r="V36" s="1225"/>
      <c r="W36" s="1235">
        <f>W37+W38+W39</f>
        <v>4.7426137697756124E-2</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1854</v>
      </c>
      <c r="F37" s="1276">
        <v>100</v>
      </c>
      <c r="G37" s="1275">
        <v>3000</v>
      </c>
      <c r="H37" s="1382">
        <f>I37+J37+K37</f>
        <v>300000</v>
      </c>
      <c r="I37" s="1276"/>
      <c r="J37" s="1508">
        <f>IF(AB37=1,G37*F37,0)</f>
        <v>300000</v>
      </c>
      <c r="K37" s="1276"/>
      <c r="L37" s="946"/>
      <c r="M37" s="74"/>
      <c r="N37" s="74"/>
      <c r="O37" s="1207">
        <f>IF(AB37=1,('Расчет базового уровня'!D158-'Расчет после реализации'!D158)*'Расчет базового уровня'!D13,0)</f>
        <v>15.392252141971845</v>
      </c>
      <c r="P37" s="1237"/>
      <c r="Q37" s="1237"/>
      <c r="R37" s="1211">
        <f>O37/'Расчет базового уровня'!$D$35/0.86*1000</f>
        <v>3.9992801295766808E-2</v>
      </c>
      <c r="S37" s="1211">
        <f>R37*(1-R31-S18-S7-S60-S71)</f>
        <v>2.8842817051356131E-2</v>
      </c>
      <c r="T37" s="1189"/>
      <c r="U37" s="1189"/>
      <c r="V37" s="1209">
        <f>(O37+P37)/'Расчет базового уровня'!$D$9/0.86*1000</f>
        <v>2.6353748103811418E-2</v>
      </c>
      <c r="W37" s="1211">
        <f>(S37*'Расчет базового уровня'!$D$35+'Список мероприятий'!U37*'Расчет базового уровня'!$D$15)/'Расчет базового уровня'!$D$9</f>
        <v>1.900632890290218E-2</v>
      </c>
      <c r="X37" s="1211"/>
      <c r="Y37" s="1211"/>
      <c r="Z37" s="74">
        <f>IF(AB37-H37=1,1,0)</f>
        <v>0</v>
      </c>
      <c r="AA37" s="1203">
        <v>1</v>
      </c>
      <c r="AB37" s="1175">
        <f>IF(AC37=TRUE,1,0)</f>
        <v>1</v>
      </c>
      <c r="AC37" s="1176" t="b">
        <v>1</v>
      </c>
      <c r="AD37" s="1203">
        <f>IF(AND(AA37=1,A37="ОШИБКА"),1,0)</f>
        <v>0</v>
      </c>
      <c r="AE37" s="75" t="str">
        <f>IF(AB37=1,CONCATENATE(D37,CHAR(10)),"")</f>
        <v xml:space="preserve">Ремонт (замена) трубопроводов внутридомовой системы отопления в сочетании с тепловой изоляцией (в неотапливаемых помещениях)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1930</v>
      </c>
      <c r="E38" s="1230" t="s">
        <v>1855</v>
      </c>
      <c r="F38" s="1275">
        <v>100</v>
      </c>
      <c r="G38" s="1275">
        <v>3000</v>
      </c>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16.59896197967208</v>
      </c>
      <c r="Q38" s="1207"/>
      <c r="R38" s="1209"/>
      <c r="S38" s="1209"/>
      <c r="T38" s="1209">
        <f>IF('Система ГВС'!F3=2,0,P38/'Расчет базового уровня'!$D$85/0.86*1000)</f>
        <v>8.3333333333333162E-2</v>
      </c>
      <c r="U38" s="1209">
        <f>IF('Система ГВС'!F3=2,0,T38*(1-T32-T39))</f>
        <v>8.3333333333333162E-2</v>
      </c>
      <c r="V38" s="1209">
        <f>(O38+P38)/'Расчет базового уровня'!$D$9/0.86*1000</f>
        <v>2.8419808794853948E-2</v>
      </c>
      <c r="W38" s="1211">
        <f>(S38*'Расчет базового уровня'!$D$35+'Список мероприятий'!U38*'Расчет базового уровня'!$D$15)/'Расчет базового уровня'!$D$9</f>
        <v>2.8419808794853944E-2</v>
      </c>
      <c r="X38" s="1211"/>
      <c r="Y38" s="1211"/>
      <c r="Z38" s="74">
        <f>IF(AB38-H38=1,1,0)</f>
        <v>1</v>
      </c>
      <c r="AA38" s="1203">
        <f>IF(AND('Система ГВС'!$F$3=1),1,0)</f>
        <v>1</v>
      </c>
      <c r="AB38" s="1175">
        <f>IF(AND(AA38=1,AC38=TRUE),1,0)</f>
        <v>1</v>
      </c>
      <c r="AC38" s="1176" t="b">
        <v>1</v>
      </c>
      <c r="AD38" s="1203">
        <f>IF(AND(AA38=1,A38="ОШИБКА"),1,0)</f>
        <v>0</v>
      </c>
      <c r="AE38" s="75" t="str">
        <f>IF(AB38=1,CONCATENATE(D38,CHAR(10)),"")</f>
        <v xml:space="preserve">Ремонт (замена) трубопроводов внутридомовой системы горячего водоснабжения в сочетании с тепловой изоляцией (в неотапливаемых помещениях; по стоякам)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0</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3">
      <c r="A41" s="1240"/>
      <c r="B41" s="74"/>
      <c r="C41" s="1221"/>
      <c r="D41" s="1273">
        <f>'Ввод исходных данных'!G49+'Серии планировка'!AB76</f>
        <v>126</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1853</v>
      </c>
      <c r="F42" s="1275"/>
      <c r="G42" s="1275"/>
      <c r="H42" s="1277">
        <f>H43+H44+H45</f>
        <v>0</v>
      </c>
      <c r="I42" s="1275"/>
      <c r="J42" s="1275"/>
      <c r="K42" s="1275"/>
      <c r="L42" s="1624"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2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2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2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3">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1853</v>
      </c>
      <c r="F47" s="1275"/>
      <c r="G47" s="1275"/>
      <c r="H47" s="1430">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3">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1</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3">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1933</v>
      </c>
      <c r="E55" s="1628" t="s">
        <v>1856</v>
      </c>
      <c r="F55" s="1282"/>
      <c r="G55" s="1282"/>
      <c r="H55" s="1430">
        <f>I55+J55+K55</f>
        <v>0</v>
      </c>
      <c r="I55" s="1282"/>
      <c r="J55" s="1282"/>
      <c r="K55" s="1282"/>
      <c r="L55" s="1653"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0</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1934</v>
      </c>
      <c r="E56" s="1629"/>
      <c r="F56" s="1632"/>
      <c r="G56" s="1632"/>
      <c r="H56" s="1636">
        <f>I56+J56+K56</f>
        <v>0</v>
      </c>
      <c r="I56" s="1632"/>
      <c r="J56" s="1632"/>
      <c r="K56" s="1632"/>
      <c r="L56" s="1654"/>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0</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1862</v>
      </c>
      <c r="D57" s="1385"/>
      <c r="E57" s="1245" t="s">
        <v>1880</v>
      </c>
      <c r="F57" s="1633"/>
      <c r="G57" s="1633"/>
      <c r="H57" s="1637"/>
      <c r="I57" s="1633"/>
      <c r="J57" s="1633"/>
      <c r="K57" s="163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0</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3">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8" t="s">
        <v>1857</v>
      </c>
      <c r="F61" s="1380" t="s">
        <v>1845</v>
      </c>
      <c r="G61" s="1380" t="s">
        <v>1310</v>
      </c>
      <c r="H61" s="1380" t="s">
        <v>1309</v>
      </c>
      <c r="I61" s="1380" t="s">
        <v>1309</v>
      </c>
      <c r="J61" s="1380" t="s">
        <v>1309</v>
      </c>
      <c r="K61" s="1380" t="s">
        <v>1309</v>
      </c>
      <c r="L61" s="1653"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1936</v>
      </c>
      <c r="E62" s="1655"/>
      <c r="F62" s="1639">
        <f>'Расчет базового уровня'!B141</f>
        <v>0</v>
      </c>
      <c r="G62" s="1639">
        <v>0</v>
      </c>
      <c r="H62" s="1635">
        <f>I62+J62+K62</f>
        <v>0</v>
      </c>
      <c r="I62" s="1634"/>
      <c r="J62" s="1634">
        <f>IF(AB62=1,G62*F62,0)</f>
        <v>0</v>
      </c>
      <c r="K62" s="1634"/>
      <c r="L62" s="1656"/>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55"/>
      <c r="F63" s="1634"/>
      <c r="G63" s="1634"/>
      <c r="H63" s="1635"/>
      <c r="I63" s="1634"/>
      <c r="J63" s="1634"/>
      <c r="K63" s="1634"/>
      <c r="L63" s="1656"/>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9"/>
      <c r="F64" s="1634"/>
      <c r="G64" s="1634"/>
      <c r="H64" s="1635"/>
      <c r="I64" s="1634"/>
      <c r="J64" s="1634"/>
      <c r="K64" s="1634"/>
      <c r="L64" s="1657"/>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3">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8" t="s">
        <v>1272</v>
      </c>
      <c r="F66" s="1380" t="s">
        <v>1845</v>
      </c>
      <c r="G66" s="1380" t="s">
        <v>1310</v>
      </c>
      <c r="H66" s="1380" t="s">
        <v>1309</v>
      </c>
      <c r="I66" s="1380" t="s">
        <v>1309</v>
      </c>
      <c r="J66" s="1380" t="s">
        <v>1309</v>
      </c>
      <c r="K66" s="1380" t="s">
        <v>1309</v>
      </c>
      <c r="L66" s="1653"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Повышение теплозащиты перекрытия над подвалом</v>
      </c>
      <c r="E67" s="1655"/>
      <c r="F67" s="1639">
        <f>'Расчет базового уровня'!B142</f>
        <v>528</v>
      </c>
      <c r="G67" s="1639">
        <v>528</v>
      </c>
      <c r="H67" s="1635">
        <f>I67+J67+K67</f>
        <v>0</v>
      </c>
      <c r="I67" s="1634"/>
      <c r="J67" s="1634">
        <f>IF(AB67=1,G67*F67,0)</f>
        <v>0</v>
      </c>
      <c r="K67" s="1634"/>
      <c r="L67" s="1656"/>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1</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55"/>
      <c r="F68" s="1634"/>
      <c r="G68" s="1634"/>
      <c r="H68" s="1635"/>
      <c r="I68" s="1634"/>
      <c r="J68" s="1634"/>
      <c r="K68" s="1634"/>
      <c r="L68" s="1656"/>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9"/>
      <c r="F69" s="1634"/>
      <c r="G69" s="1634"/>
      <c r="H69" s="1635"/>
      <c r="I69" s="1634"/>
      <c r="J69" s="1634"/>
      <c r="K69" s="1634"/>
      <c r="L69" s="1657"/>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1937</v>
      </c>
      <c r="E73" s="1218" t="s">
        <v>1858</v>
      </c>
      <c r="F73" s="1275">
        <f>'Ввод исходных данных'!G65</f>
        <v>2</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1938</v>
      </c>
      <c r="E74" s="1628" t="s">
        <v>1296</v>
      </c>
      <c r="F74" s="1634">
        <v>18</v>
      </c>
      <c r="G74" s="1634"/>
      <c r="H74" s="1635">
        <f>I74+J74+K74</f>
        <v>0</v>
      </c>
      <c r="I74" s="1634"/>
      <c r="J74" s="1634">
        <f>IF(AB74=1,G74*F74,0)</f>
        <v>0</v>
      </c>
      <c r="K74" s="1634"/>
      <c r="L74" s="1630"/>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979</v>
      </c>
      <c r="E75" s="1629"/>
      <c r="F75" s="1634"/>
      <c r="G75" s="1634"/>
      <c r="H75" s="1635"/>
      <c r="I75" s="1634"/>
      <c r="J75" s="1634"/>
      <c r="K75" s="1634"/>
      <c r="L75" s="1631"/>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84" t="str">
        <f>IF(AND('Список мероприятий'!$AB$32=0,'Система отопления'!F5=0,'Система отопления'!F6=0),"Необходимо выбрать установку АУУ СО или АИТП","")</f>
        <v/>
      </c>
      <c r="C79" s="1684"/>
      <c r="D79" s="1684"/>
      <c r="E79" s="1684"/>
      <c r="F79" s="1684"/>
      <c r="G79" s="1684"/>
      <c r="H79" s="1684"/>
      <c r="I79" s="1684"/>
      <c r="J79" s="1684"/>
      <c r="K79" s="1684"/>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5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Без ввода стоимостей мероприятий не будут рассчитаны срок окупаемости и размер поддержки. </v>
      </c>
      <c r="C80" s="1652"/>
      <c r="D80" s="1652"/>
      <c r="E80" s="1652"/>
      <c r="F80" s="1652"/>
      <c r="G80" s="1652"/>
      <c r="H80" s="1652"/>
      <c r="I80" s="1652"/>
      <c r="J80" s="1652"/>
      <c r="K80" s="1652"/>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49" t="str">
        <f>IF(списки!C53=1,CONCATENATE(AE9,AE12,AE14,AE20,AE24,AE27,AE37,AE38,AE39,AE42,AE47,AE52,AE32,AE34,AE35,AE55,AE56,AE58,AE62,AE67,AE73,AE74,AE76),"")</f>
        <v xml:space="preserve">Ремонт (замена) трубопроводов внутридомовой системы отопления в сочетании с тепловой изоляцией (в неотапливаемых помещениях)
Ремонт (замена) трубопроводов внутридомовой системы горячего водоснабжения в сочетании с тепловой изоляцией (в неотапливаемых помещениях; по стоякам)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50"/>
      <c r="D81" s="1650"/>
      <c r="E81" s="1650"/>
      <c r="F81" s="1650"/>
      <c r="G81" s="1650"/>
      <c r="H81" s="1650"/>
      <c r="I81" s="1650"/>
      <c r="J81" s="1650"/>
      <c r="K81" s="1651"/>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46" t="s">
        <v>1354</v>
      </c>
      <c r="E85" s="1647"/>
      <c r="F85" s="1647"/>
      <c r="G85" s="1647"/>
      <c r="H85" s="1647"/>
      <c r="I85" s="1647"/>
      <c r="J85" s="1648"/>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t="str">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
      </c>
      <c r="G86" s="161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xml:space="preserve">Без ввода стоимостей мероприятий не будут рассчитаны срок окупаемости и размер поддержки. </v>
      </c>
      <c r="H86" s="1619"/>
      <c r="I86" s="1619"/>
      <c r="J86" s="162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t="str">
        <f>IF(списки!C51=1,"",F86/'Экономический расчет'!C27)</f>
        <v/>
      </c>
      <c r="G87" s="1621"/>
      <c r="H87" s="1622"/>
      <c r="I87" s="1622"/>
      <c r="J87" s="162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1859</v>
      </c>
      <c r="E88" s="1399" t="s">
        <v>1356</v>
      </c>
      <c r="F88" s="1426" t="str">
        <f>IF(списки!C51=1,"",F86/('Ввод исходных данных'!G45+'Ввод исходных данных'!D23))</f>
        <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1881</v>
      </c>
      <c r="E89" s="1399" t="s">
        <v>1309</v>
      </c>
      <c r="F89" s="1426">
        <f>IF(списки!C53=0,"",'Экономический расчет'!C19-'Экономический расчет'!D19)</f>
        <v>287834.76607295044</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1860</v>
      </c>
      <c r="E90" s="1399" t="s">
        <v>1181</v>
      </c>
      <c r="F90" s="1427">
        <f>'Экономический расчет'!C36</f>
        <v>0.22945189044950487</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t="str">
        <f>IF(списки!C51=1,"",'Экономический расчет'!C37)</f>
        <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46" t="s">
        <v>1359</v>
      </c>
      <c r="E92" s="1647"/>
      <c r="F92" s="1647"/>
      <c r="G92" s="1647"/>
      <c r="H92" s="1647"/>
      <c r="I92" s="1647"/>
      <c r="J92" s="1648"/>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расчет'!E20)</f>
        <v>136.94490322622019</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расчет'!E23)</f>
        <v>-935.94962606364652</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935.94962606364629</v>
      </c>
      <c r="G95" s="1678" t="s">
        <v>1363</v>
      </c>
      <c r="H95" s="1679"/>
      <c r="I95" s="1679"/>
      <c r="J95" s="1680"/>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158330.9728260304</v>
      </c>
      <c r="G96" s="1675"/>
      <c r="H96" s="1676"/>
      <c r="I96" s="1676"/>
      <c r="J96" s="1677"/>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66.54519094945168</v>
      </c>
      <c r="G97" s="1675"/>
      <c r="H97" s="1676"/>
      <c r="I97" s="1676"/>
      <c r="J97" s="1677"/>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zoomScaleNormal="100" workbookViewId="0">
      <pane ySplit="1" topLeftCell="A14" activePane="bottomLeft" state="frozen"/>
      <selection pane="bottomLeft" activeCell="D11" sqref="D11"/>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8" t="s">
        <v>1661</v>
      </c>
      <c r="C1" s="1698"/>
      <c r="D1" s="1698"/>
      <c r="E1" s="1699" t="s">
        <v>1654</v>
      </c>
      <c r="F1" s="1699"/>
      <c r="G1" s="1699"/>
      <c r="H1" s="42"/>
      <c r="I1" s="42"/>
    </row>
    <row r="2" spans="1:44" x14ac:dyDescent="0.3">
      <c r="A2" s="288"/>
      <c r="B2" s="288"/>
      <c r="C2" s="1694" t="s">
        <v>1419</v>
      </c>
      <c r="D2" s="1695"/>
      <c r="E2" s="1696"/>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3">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3">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t="str">
        <f>'Список мероприятий'!F86</f>
        <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1100000</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1946</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3">
      <c r="A10" s="289"/>
      <c r="B10" s="290" t="s">
        <v>1947</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7.6" x14ac:dyDescent="0.3">
      <c r="A11" s="289"/>
      <c r="B11" s="292" t="s">
        <v>1321</v>
      </c>
      <c r="C11" s="169" t="s">
        <v>1309</v>
      </c>
      <c r="D11" s="1400">
        <f>IFERROR(E24*D14,"")</f>
        <v>3500.4516014780374</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1700" t="s">
        <v>1326</v>
      </c>
      <c r="C12" s="1701"/>
      <c r="D12" s="1702"/>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1313</v>
      </c>
      <c r="C13" s="1402" t="s">
        <v>1314</v>
      </c>
      <c r="D13" s="1400">
        <f>'Ввод исходных данных'!C270</f>
        <v>2127.39</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3">
      <c r="A14" s="289"/>
      <c r="B14" s="293" t="s">
        <v>1315</v>
      </c>
      <c r="C14" s="1402" t="s">
        <v>1316</v>
      </c>
      <c r="D14" s="1400">
        <f>'Ввод исходных данных'!D270</f>
        <v>3.74</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3">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3">
      <c r="A16" s="289"/>
      <c r="B16" s="1704" t="s">
        <v>1443</v>
      </c>
      <c r="C16" s="1705"/>
      <c r="D16" s="1705"/>
      <c r="E16" s="1705"/>
      <c r="F16" s="1705"/>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3">
      <c r="A17" s="289"/>
      <c r="B17" s="293"/>
      <c r="C17" s="1693" t="s">
        <v>1309</v>
      </c>
      <c r="D17" s="1693"/>
      <c r="E17" s="1693"/>
      <c r="F17" s="1693"/>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3">
      <c r="A18" s="289"/>
      <c r="B18" s="293"/>
      <c r="C18" s="1510" t="s">
        <v>1322</v>
      </c>
      <c r="D18" s="1511" t="s">
        <v>1327</v>
      </c>
      <c r="E18" s="1512" t="s">
        <v>1921</v>
      </c>
      <c r="F18" s="1703"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293" t="s">
        <v>1323</v>
      </c>
      <c r="C19" s="1400">
        <f>C20+C23</f>
        <v>1254444.9536199998</v>
      </c>
      <c r="D19" s="1400">
        <f>D20+D23</f>
        <v>966610.18754704937</v>
      </c>
      <c r="E19" s="1405"/>
      <c r="F19" s="1703"/>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3" t="s">
        <v>1420</v>
      </c>
      <c r="C20" s="1400">
        <f>C21+C22</f>
        <v>1242306.4096199998</v>
      </c>
      <c r="D20" s="1400">
        <f>D21+D22</f>
        <v>950971.19194557134</v>
      </c>
      <c r="E20" s="1405">
        <f>IF(списки!C53=0,0,E21+E22)</f>
        <v>136.94490322622019</v>
      </c>
      <c r="F20" s="1703"/>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1324</v>
      </c>
      <c r="C21" s="1400">
        <f>'Расчет базового уровня'!D13*'Экономический расчет'!$D$13</f>
        <v>818633.08210773626</v>
      </c>
      <c r="D21" s="1400">
        <f>IF(списки!C53=0,0,'Расчет после реализации'!D12/1163*'Экономический расчет'!$D$13)</f>
        <v>562603.97505932965</v>
      </c>
      <c r="E21" s="1405">
        <f>IF(списки!C53=0,0,'Расчет после реализации'!D13/1163)</f>
        <v>120.34892852199488</v>
      </c>
      <c r="F21" s="1703"/>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4" t="s">
        <v>1325</v>
      </c>
      <c r="C22" s="1400">
        <f>'Расчет базового уровня'!D16*'Экономический расчет'!$D$13</f>
        <v>423673.32751226361</v>
      </c>
      <c r="D22" s="1400">
        <f>IF(списки!C53=0,0,'Расчет после реализации'!D15/1163*'Экономический расчет'!$D$13)</f>
        <v>388367.21688624169</v>
      </c>
      <c r="E22" s="1405">
        <f>IF(списки!C53=0,0,'Расчет после реализации'!D86/1163)</f>
        <v>16.59597470422532</v>
      </c>
      <c r="F22" s="1703"/>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3">
      <c r="A23" s="289"/>
      <c r="B23" s="1403" t="s">
        <v>1421</v>
      </c>
      <c r="C23" s="1400">
        <f>'Расчет базового уровня'!D18*'Экономический расчет'!$D$14</f>
        <v>12138.543999999996</v>
      </c>
      <c r="D23" s="1400">
        <f>IF(списки!C53=0,0,'Расчет после реализации'!D18*'Экономический расчет'!$D$14)</f>
        <v>15638.995601478035</v>
      </c>
      <c r="E23" s="1405">
        <f>IF(списки!C53=0,0,'Расчет после реализации'!C100-'Расчет после реализации'!D100)</f>
        <v>-935.94962606364652</v>
      </c>
      <c r="F23" s="1703"/>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3">
      <c r="A24" s="289"/>
      <c r="B24" s="1697" t="s">
        <v>1448</v>
      </c>
      <c r="C24" s="1697"/>
      <c r="D24" s="1697"/>
      <c r="E24" s="1406">
        <f>IF(списки!C53=0,"",IF('Расчет после реализации'!D106&gt;'Расчет после реализации'!C106,'Расчет после реализации'!D106-'Расчет после реализации'!C106,0))</f>
        <v>935.94962606364629</v>
      </c>
      <c r="F24" s="1703"/>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3">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3">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1902</v>
      </c>
      <c r="C27" s="1400">
        <f>'Ввод исходных данных'!G44</f>
        <v>2650</v>
      </c>
      <c r="D27" s="1689"/>
      <c r="E27" s="1689"/>
      <c r="F27" s="16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1861</v>
      </c>
      <c r="C28" s="1400">
        <f>'Ввод исходных данных'!G45+'Ввод исходных данных'!D23</f>
        <v>2379.3000000000002</v>
      </c>
      <c r="D28" s="1689"/>
      <c r="E28" s="1689"/>
      <c r="F28" s="16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1406</v>
      </c>
      <c r="C29" s="1400" t="str">
        <f>'Список мероприятий'!F86</f>
        <v/>
      </c>
      <c r="D29" s="1689"/>
      <c r="E29" s="1689"/>
      <c r="F29" s="16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1903</v>
      </c>
      <c r="C30" s="1400" t="str">
        <f>IFERROR(C29/C27,"")</f>
        <v/>
      </c>
      <c r="D30" s="1689" t="s">
        <v>1595</v>
      </c>
      <c r="E30" s="1689"/>
      <c r="F30" s="16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1903</v>
      </c>
      <c r="C31" s="1400" t="str">
        <f>IFERROR(C29/C28,"")</f>
        <v/>
      </c>
      <c r="D31" s="1689" t="s">
        <v>1636</v>
      </c>
      <c r="E31" s="1689"/>
      <c r="F31" s="16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3">
      <c r="A32" s="289"/>
      <c r="B32" s="1493" t="s">
        <v>1408</v>
      </c>
      <c r="C32" s="1400"/>
      <c r="D32" s="1689"/>
      <c r="E32" s="1689"/>
      <c r="F32" s="16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3">
      <c r="A33" s="289"/>
      <c r="B33" s="1494" t="s">
        <v>1416</v>
      </c>
      <c r="C33" s="1400" t="str">
        <f>IF(OR(D6=0,списки!C51=1),"",MIN(5000000,D6/2,IF(AND(C36&gt;=0.1,C36&lt;=0.3),(C36*10+1)*C35,IF(C36&gt;0.3,4*C35,0))))</f>
        <v/>
      </c>
      <c r="D33" s="1690" t="str">
        <f>E6</f>
        <v/>
      </c>
      <c r="E33" s="1690"/>
      <c r="F33" s="1690"/>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3">
      <c r="A34" s="289"/>
      <c r="B34" s="1494" t="s">
        <v>1417</v>
      </c>
      <c r="C34" s="1400">
        <f>IFERROR(MIN(5*10^6-C33,D6/2-C33,IF(списки!C51=1,0,ABS(D7+PMT(MIN(D9,D10)/12,MIN(D8,60),D7)*MIN(D8,60)))),0)</f>
        <v>0</v>
      </c>
      <c r="D34" s="1691" t="str">
        <f>IF(IFERROR(C34,0)&gt;0,"Внимание: ориентировочная сумма!","")</f>
        <v/>
      </c>
      <c r="E34" s="1691"/>
      <c r="F34" s="1691"/>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1610</v>
      </c>
      <c r="C35" s="1400">
        <f>IF(списки!C49=1,0,C36*(C19))</f>
        <v>287834.76607295044</v>
      </c>
      <c r="D35" s="1689"/>
      <c r="E35" s="1689"/>
      <c r="F35" s="16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1409</v>
      </c>
      <c r="C36" s="296">
        <f>IF(списки!C53=0,"",1-D19/C19)</f>
        <v>0.22945189044950487</v>
      </c>
      <c r="D36" s="1692"/>
      <c r="E36" s="1692"/>
      <c r="F36" s="1692"/>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3">
      <c r="A37" s="289"/>
      <c r="B37" s="1493" t="s">
        <v>1407</v>
      </c>
      <c r="C37" s="295" t="str">
        <f>IF(списки!C51=1,"",D5/C35)</f>
        <v/>
      </c>
      <c r="D37" s="1689"/>
      <c r="E37" s="1689"/>
      <c r="F37" s="16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3">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3">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3">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3">
      <c r="A42" s="289"/>
      <c r="B42" s="1270">
        <v>1</v>
      </c>
      <c r="C42" s="1271">
        <f>'Список мероприятий'!W9</f>
        <v>0</v>
      </c>
      <c r="D42" s="1270" t="str">
        <f>IF(E42=0,"","Повыш-е теплозащ. наружных стен")</f>
        <v/>
      </c>
      <c r="E42" s="1272">
        <f t="shared" ref="E42:E64" si="0">F42/SUM($F$42:$F$64)</f>
        <v>0</v>
      </c>
      <c r="F42" s="1270">
        <f t="shared" ref="F42:F53" si="1">$C42*$C$20</f>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3">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3">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3">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3">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3">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7</v>
      </c>
      <c r="C48" s="1271">
        <f>'Список мероприятий'!W32</f>
        <v>0.18371854340913496</v>
      </c>
      <c r="D48" s="1270" t="str">
        <f>IF(E48=0,"","Установка узлов управления")</f>
        <v>Установка узлов управления</v>
      </c>
      <c r="E48" s="1272">
        <f t="shared" si="0"/>
        <v>0.794820553643524</v>
      </c>
      <c r="F48" s="1517">
        <f t="shared" si="1"/>
        <v>228234.72404321854</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10</v>
      </c>
      <c r="C51" s="1271">
        <f>'Список мероприятий'!W37</f>
        <v>1.900632890290218E-2</v>
      </c>
      <c r="D51" s="1270" t="str">
        <f>IF(E51=0,"","Ремонт трубопровода СО")</f>
        <v>Ремонт трубопровода СО</v>
      </c>
      <c r="E51" s="1272">
        <f t="shared" si="0"/>
        <v>8.2226979274997253E-2</v>
      </c>
      <c r="F51" s="1517">
        <f t="shared" si="1"/>
        <v>23611.684219421237</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11</v>
      </c>
      <c r="C52" s="1271">
        <f>'Список мероприятий'!W38</f>
        <v>2.8419808794853944E-2</v>
      </c>
      <c r="D52" s="1270" t="str">
        <f>IF(E52=0,"","Ремонт трубопровода ГВС")</f>
        <v>Ремонт трубопровода ГВС</v>
      </c>
      <c r="E52" s="1272">
        <f t="shared" si="0"/>
        <v>0.12295246708147882</v>
      </c>
      <c r="F52" s="1270">
        <f t="shared" si="1"/>
        <v>35306.110626021895</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3">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E17:F17"/>
    <mergeCell ref="C2:E2"/>
    <mergeCell ref="C17:D17"/>
    <mergeCell ref="B24:D24"/>
    <mergeCell ref="B1:D1"/>
    <mergeCell ref="E1:G1"/>
    <mergeCell ref="B12:D12"/>
    <mergeCell ref="F18:F24"/>
    <mergeCell ref="B16:F16"/>
    <mergeCell ref="D37:F37"/>
    <mergeCell ref="D32:F32"/>
    <mergeCell ref="D33:F33"/>
    <mergeCell ref="D34:F34"/>
    <mergeCell ref="D35:F35"/>
    <mergeCell ref="D36:F36"/>
    <mergeCell ref="D27:F27"/>
    <mergeCell ref="D28:F28"/>
    <mergeCell ref="D29:F29"/>
    <mergeCell ref="D30:F30"/>
    <mergeCell ref="D31:F31"/>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83" t="s">
        <v>1661</v>
      </c>
      <c r="C1" s="1683"/>
      <c r="D1" s="1683"/>
      <c r="E1" s="1420" t="s">
        <v>1654</v>
      </c>
      <c r="F1" s="41"/>
      <c r="G1" s="42"/>
      <c r="H1" s="42"/>
      <c r="I1" s="42"/>
    </row>
    <row r="2" spans="1:26" ht="53.25" customHeight="1" x14ac:dyDescent="0.3">
      <c r="A2" s="44"/>
      <c r="B2" s="1711" t="s">
        <v>1882</v>
      </c>
      <c r="C2" s="1711"/>
      <c r="D2" s="1711"/>
      <c r="E2" s="1711"/>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12" t="s">
        <v>1883</v>
      </c>
      <c r="C3" s="1712"/>
      <c r="D3" s="1712"/>
      <c r="E3" s="1712"/>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13" t="s">
        <v>1662</v>
      </c>
      <c r="C4" s="1714"/>
      <c r="D4" s="1714"/>
      <c r="E4" s="1715"/>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16" t="s">
        <v>1663</v>
      </c>
      <c r="C5" s="1717"/>
      <c r="D5" s="1718"/>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08" t="s">
        <v>1666</v>
      </c>
      <c r="C6" s="1709"/>
      <c r="D6" s="171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08" t="s">
        <v>1669</v>
      </c>
      <c r="C7" s="1709"/>
      <c r="D7" s="171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08" t="s">
        <v>1672</v>
      </c>
      <c r="C8" s="1709"/>
      <c r="D8" s="171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08" t="s">
        <v>1675</v>
      </c>
      <c r="C9" s="1709"/>
      <c r="D9" s="171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08" t="s">
        <v>1677</v>
      </c>
      <c r="C10" s="1709"/>
      <c r="D10" s="171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08" t="s">
        <v>1679</v>
      </c>
      <c r="C11" s="1709"/>
      <c r="D11" s="171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08" t="s">
        <v>1680</v>
      </c>
      <c r="C12" s="1709"/>
      <c r="D12" s="171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19"/>
      <c r="C13" s="1720"/>
      <c r="D13" s="172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13" t="s">
        <v>1884</v>
      </c>
      <c r="C14" s="1714"/>
      <c r="D14" s="1714"/>
      <c r="E14" s="1715"/>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22" t="s">
        <v>1885</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24" t="s">
        <v>1683</v>
      </c>
      <c r="E16" s="1725"/>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06" t="s">
        <v>1685</v>
      </c>
      <c r="E17" s="1707"/>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06" t="s">
        <v>1687</v>
      </c>
      <c r="E18" s="170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26" t="s">
        <v>1688</v>
      </c>
      <c r="C19" s="1728"/>
      <c r="D19" s="1706" t="s">
        <v>1689</v>
      </c>
      <c r="E19" s="170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27"/>
      <c r="C20" s="1729"/>
      <c r="D20" s="1730"/>
      <c r="E20" s="1731"/>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22" t="s">
        <v>1886</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06" t="s">
        <v>1693</v>
      </c>
      <c r="E23" s="170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06" t="s">
        <v>1694</v>
      </c>
      <c r="E24" s="170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06" t="s">
        <v>1695</v>
      </c>
      <c r="E25" s="170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06" t="s">
        <v>1697</v>
      </c>
      <c r="E26" s="170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32" t="s">
        <v>1689</v>
      </c>
      <c r="E27" s="173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06" t="s">
        <v>1702</v>
      </c>
      <c r="E30" s="170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06" t="s">
        <v>1703</v>
      </c>
      <c r="E31" s="170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32" t="s">
        <v>1704</v>
      </c>
      <c r="E32" s="173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22" t="s">
        <v>1887</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24" t="s">
        <v>1894</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06" t="s">
        <v>1707</v>
      </c>
      <c r="E35" s="170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06" t="s">
        <v>1708</v>
      </c>
      <c r="E36" s="170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43" t="s">
        <v>1895</v>
      </c>
      <c r="E37" s="1744"/>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22" t="s">
        <v>1888</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41" t="s">
        <v>1711</v>
      </c>
      <c r="E39" s="1742"/>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34" t="s">
        <v>1684</v>
      </c>
      <c r="C40" s="1728"/>
      <c r="D40" s="1737" t="s">
        <v>1712</v>
      </c>
      <c r="E40" s="173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35"/>
      <c r="C41" s="1736"/>
      <c r="D41" s="1739"/>
      <c r="E41" s="1740"/>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37" t="s">
        <v>1713</v>
      </c>
      <c r="E42" s="173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37" t="s">
        <v>1714</v>
      </c>
      <c r="E43" s="173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26" t="s">
        <v>1696</v>
      </c>
      <c r="C44" s="1745"/>
      <c r="D44" s="1747" t="s">
        <v>1689</v>
      </c>
      <c r="E44" s="174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27"/>
      <c r="C45" s="1746"/>
      <c r="D45" s="1730"/>
      <c r="E45" s="1731"/>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22" t="s">
        <v>1889</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06" t="s">
        <v>1719</v>
      </c>
      <c r="E48" s="1707"/>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06" t="s">
        <v>1721</v>
      </c>
      <c r="E49" s="1707"/>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4" t="s">
        <v>1688</v>
      </c>
      <c r="C50" s="55"/>
      <c r="D50" s="1706" t="s">
        <v>1722</v>
      </c>
      <c r="E50" s="1707"/>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06" t="s">
        <v>1723</v>
      </c>
      <c r="E51" s="1707"/>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1734" t="s">
        <v>1698</v>
      </c>
      <c r="C52" s="1728"/>
      <c r="D52" s="1706" t="s">
        <v>1689</v>
      </c>
      <c r="E52" s="1707"/>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3">
      <c r="A53" s="44"/>
      <c r="B53" s="1749"/>
      <c r="C53" s="1729"/>
      <c r="D53" s="1750"/>
      <c r="E53" s="1751"/>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3">
      <c r="A54" s="44"/>
      <c r="B54" s="58" t="s">
        <v>1724</v>
      </c>
      <c r="C54" s="1722" t="s">
        <v>1725</v>
      </c>
      <c r="D54" s="1722"/>
      <c r="E54" s="1723"/>
      <c r="F54" s="44"/>
      <c r="G54" s="44" t="s">
        <v>68</v>
      </c>
      <c r="H54" s="44"/>
      <c r="I54" s="44"/>
      <c r="J54" s="44"/>
      <c r="K54" s="44"/>
      <c r="L54" s="44"/>
      <c r="M54" s="44"/>
      <c r="N54" s="44"/>
      <c r="O54" s="44"/>
      <c r="P54" s="44"/>
      <c r="Q54" s="44"/>
      <c r="R54" s="44"/>
      <c r="S54" s="44"/>
      <c r="T54" s="44"/>
      <c r="U54" s="44"/>
      <c r="V54" s="44"/>
      <c r="W54" s="44"/>
      <c r="X54" s="44"/>
      <c r="Y54" s="44"/>
      <c r="Z54" s="44"/>
    </row>
    <row r="55" spans="1:26" x14ac:dyDescent="0.3">
      <c r="A55" s="44"/>
      <c r="B55" s="52" t="s">
        <v>1682</v>
      </c>
      <c r="C55" s="53"/>
      <c r="D55" s="1724" t="s">
        <v>1726</v>
      </c>
      <c r="E55" s="1725"/>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3">
      <c r="A56" s="44"/>
      <c r="B56" s="1726" t="s">
        <v>1684</v>
      </c>
      <c r="C56" s="1745"/>
      <c r="D56" s="1706" t="s">
        <v>1727</v>
      </c>
      <c r="E56" s="1707"/>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3">
      <c r="A57" s="44"/>
      <c r="B57" s="1726"/>
      <c r="C57" s="1745"/>
      <c r="D57" s="1752"/>
      <c r="E57" s="1753"/>
      <c r="F57" s="44"/>
      <c r="G57" s="44" t="s">
        <v>145</v>
      </c>
      <c r="H57" s="44"/>
      <c r="I57" s="44"/>
      <c r="J57" s="44"/>
      <c r="K57" s="44"/>
      <c r="L57" s="44"/>
      <c r="M57" s="44"/>
      <c r="N57" s="44"/>
      <c r="O57" s="44"/>
      <c r="P57" s="44"/>
      <c r="Q57" s="44"/>
      <c r="R57" s="44"/>
      <c r="S57" s="44"/>
      <c r="T57" s="44"/>
      <c r="U57" s="44"/>
      <c r="V57" s="44"/>
      <c r="W57" s="44"/>
      <c r="X57" s="44"/>
      <c r="Y57" s="44"/>
      <c r="Z57" s="44"/>
    </row>
    <row r="58" spans="1:26" x14ac:dyDescent="0.3">
      <c r="A58" s="44"/>
      <c r="B58" s="54" t="s">
        <v>1686</v>
      </c>
      <c r="C58" s="55"/>
      <c r="D58" s="1706" t="s">
        <v>1728</v>
      </c>
      <c r="E58" s="1707"/>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3">
      <c r="A59" s="44"/>
      <c r="B59" s="56" t="s">
        <v>1688</v>
      </c>
      <c r="C59" s="57"/>
      <c r="D59" s="1732" t="s">
        <v>1729</v>
      </c>
      <c r="E59" s="173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3">
      <c r="A60" s="44"/>
      <c r="B60" s="58" t="s">
        <v>1730</v>
      </c>
      <c r="C60" s="1722" t="s">
        <v>1890</v>
      </c>
      <c r="D60" s="1722"/>
      <c r="E60" s="1723"/>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3">
      <c r="A61" s="44"/>
      <c r="B61" s="52" t="s">
        <v>1682</v>
      </c>
      <c r="C61" s="53"/>
      <c r="D61" s="1724" t="s">
        <v>1732</v>
      </c>
      <c r="E61" s="1725"/>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1726" t="s">
        <v>1684</v>
      </c>
      <c r="C62" s="1745"/>
      <c r="D62" s="1706" t="s">
        <v>1734</v>
      </c>
      <c r="E62" s="1707"/>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3">
      <c r="A63" s="44"/>
      <c r="B63" s="1726"/>
      <c r="C63" s="1745"/>
      <c r="D63" s="1752"/>
      <c r="E63" s="1753"/>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3">
      <c r="A64" s="44"/>
      <c r="B64" s="54" t="s">
        <v>1686</v>
      </c>
      <c r="C64" s="55"/>
      <c r="D64" s="1706" t="s">
        <v>1736</v>
      </c>
      <c r="E64" s="1707"/>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6" t="s">
        <v>1688</v>
      </c>
      <c r="C65" s="57"/>
      <c r="D65" s="1732" t="s">
        <v>1737</v>
      </c>
      <c r="E65" s="173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3">
      <c r="A66" s="44"/>
      <c r="B66" s="58" t="s">
        <v>1738</v>
      </c>
      <c r="C66" s="1722" t="s">
        <v>1891</v>
      </c>
      <c r="D66" s="1722"/>
      <c r="E66" s="1723"/>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3">
      <c r="A67" s="44"/>
      <c r="B67" s="52" t="s">
        <v>1682</v>
      </c>
      <c r="C67" s="53"/>
      <c r="D67" s="1724" t="s">
        <v>1739</v>
      </c>
      <c r="E67" s="1725"/>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4" t="s">
        <v>1684</v>
      </c>
      <c r="C68" s="55"/>
      <c r="D68" s="1706" t="s">
        <v>1741</v>
      </c>
      <c r="E68" s="1707"/>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6" t="s">
        <v>1686</v>
      </c>
      <c r="C69" s="57"/>
      <c r="D69" s="1754" t="s">
        <v>1737</v>
      </c>
      <c r="E69" s="1755"/>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3">
      <c r="A70" s="44"/>
      <c r="B70" s="58" t="s">
        <v>1743</v>
      </c>
      <c r="C70" s="1722" t="s">
        <v>1892</v>
      </c>
      <c r="D70" s="1722"/>
      <c r="E70" s="1723"/>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3">
      <c r="A71" s="44"/>
      <c r="B71" s="52" t="s">
        <v>1682</v>
      </c>
      <c r="C71" s="53"/>
      <c r="D71" s="1724" t="s">
        <v>1744</v>
      </c>
      <c r="E71" s="1725"/>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4" t="s">
        <v>1684</v>
      </c>
      <c r="C72" s="55"/>
      <c r="D72" s="1706" t="s">
        <v>1745</v>
      </c>
      <c r="E72" s="1707"/>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1686</v>
      </c>
      <c r="C73" s="55"/>
      <c r="D73" s="1706" t="s">
        <v>1746</v>
      </c>
      <c r="E73" s="1707"/>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6" t="s">
        <v>1688</v>
      </c>
      <c r="C74" s="57"/>
      <c r="D74" s="1754" t="s">
        <v>1737</v>
      </c>
      <c r="E74" s="1755"/>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3">
      <c r="A75" s="44"/>
      <c r="B75" s="58" t="s">
        <v>1747</v>
      </c>
      <c r="C75" s="1722" t="s">
        <v>1893</v>
      </c>
      <c r="D75" s="1722"/>
      <c r="E75" s="1723"/>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3">
      <c r="A76" s="44"/>
      <c r="B76" s="1756"/>
      <c r="C76" s="1757"/>
      <c r="D76" s="1757"/>
      <c r="E76" s="1758"/>
      <c r="F76" s="44"/>
      <c r="G76" s="44" t="s">
        <v>55</v>
      </c>
      <c r="H76" s="44"/>
      <c r="I76" s="44"/>
      <c r="J76" s="44"/>
      <c r="K76" s="44"/>
      <c r="L76" s="44"/>
      <c r="M76" s="44"/>
      <c r="N76" s="44"/>
      <c r="O76" s="44"/>
      <c r="P76" s="44"/>
      <c r="Q76" s="44"/>
      <c r="R76" s="44"/>
      <c r="S76" s="44"/>
      <c r="T76" s="44"/>
      <c r="U76" s="44"/>
      <c r="V76" s="44"/>
      <c r="W76" s="44"/>
      <c r="X76" s="44"/>
      <c r="Y76" s="44"/>
      <c r="Z76" s="44"/>
    </row>
    <row r="77" spans="1:26" x14ac:dyDescent="0.3">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3">
      <c r="A78" s="44"/>
      <c r="B78" s="1759" t="s">
        <v>1896</v>
      </c>
      <c r="C78" s="1759"/>
      <c r="D78" s="1759"/>
      <c r="E78" s="175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3">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B76:E76"/>
    <mergeCell ref="B78:E78"/>
    <mergeCell ref="C70:E70"/>
    <mergeCell ref="D71:E71"/>
    <mergeCell ref="D72:E72"/>
    <mergeCell ref="D73:E73"/>
    <mergeCell ref="D74:E74"/>
    <mergeCell ref="C75:E75"/>
    <mergeCell ref="D51:E51"/>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D59:E59"/>
    <mergeCell ref="B52:B53"/>
    <mergeCell ref="C52:C53"/>
    <mergeCell ref="D52:E52"/>
    <mergeCell ref="D53:E53"/>
    <mergeCell ref="C54:E54"/>
    <mergeCell ref="D55:E55"/>
    <mergeCell ref="B56:B57"/>
    <mergeCell ref="C56:C57"/>
    <mergeCell ref="D56:E56"/>
    <mergeCell ref="D57:E57"/>
    <mergeCell ref="D58:E58"/>
    <mergeCell ref="C44:C45"/>
    <mergeCell ref="D44:E44"/>
    <mergeCell ref="D45:E45"/>
    <mergeCell ref="C46:E46"/>
    <mergeCell ref="D47:E47"/>
    <mergeCell ref="D48:E48"/>
    <mergeCell ref="D49:E49"/>
    <mergeCell ref="D50:E50"/>
    <mergeCell ref="D35:E35"/>
    <mergeCell ref="D36:E36"/>
    <mergeCell ref="D37:E37"/>
    <mergeCell ref="D42:E42"/>
    <mergeCell ref="D29:E29"/>
    <mergeCell ref="D30:E30"/>
    <mergeCell ref="D31:E31"/>
    <mergeCell ref="B40:B41"/>
    <mergeCell ref="C40:C41"/>
    <mergeCell ref="D40:E40"/>
    <mergeCell ref="D41:E41"/>
    <mergeCell ref="C38:E38"/>
    <mergeCell ref="D39:E39"/>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55000000000000004">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списке52</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3">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3">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3">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3">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3">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3">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3">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3">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3">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3">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3">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3">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3">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3">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3">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3">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3">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3">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3">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3">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3">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3">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3">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3">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3">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3">
      <c r="A76" s="1003"/>
      <c r="B76" s="1003"/>
      <c r="C76" s="1003" t="str">
        <f>B2</f>
        <v>Нет в списке52</v>
      </c>
      <c r="D76" s="1003">
        <f>'Ввод исходных данных'!D19</f>
        <v>5</v>
      </c>
      <c r="E76" s="1003">
        <f>'Ввод исходных данных'!D17</f>
        <v>2</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14</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112</v>
      </c>
      <c r="AC76" s="74"/>
      <c r="AD76" s="74"/>
      <c r="AE76" s="74"/>
      <c r="AF76" s="74"/>
      <c r="AG76" s="74"/>
      <c r="AH76" s="74"/>
      <c r="AI76" s="74"/>
      <c r="AJ76" s="74"/>
      <c r="AK76" s="74"/>
      <c r="AL76" s="74"/>
      <c r="AM76" s="74"/>
      <c r="AN76" s="74"/>
      <c r="AO76" s="74"/>
      <c r="AP76" s="74"/>
      <c r="AQ76" s="74"/>
      <c r="AR76" s="74"/>
      <c r="AS76" s="74"/>
      <c r="AT76" s="74"/>
    </row>
    <row r="77" spans="1:46" x14ac:dyDescent="0.3">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3">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3">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3">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3">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3">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3">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3">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8" t="s">
        <v>1172</v>
      </c>
      <c r="B3" s="1788"/>
      <c r="C3" s="1788"/>
      <c r="D3" s="1788"/>
      <c r="E3" s="1788"/>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92" t="s">
        <v>834</v>
      </c>
      <c r="B4" s="1778" t="s">
        <v>1174</v>
      </c>
      <c r="C4" s="1794" t="s">
        <v>1175</v>
      </c>
      <c r="D4" s="1774" t="s">
        <v>1176</v>
      </c>
      <c r="E4" s="1772" t="s">
        <v>1177</v>
      </c>
      <c r="F4" s="74"/>
      <c r="G4" s="1781" t="s">
        <v>834</v>
      </c>
      <c r="H4" s="1786" t="s">
        <v>1174</v>
      </c>
      <c r="I4" s="1789" t="s">
        <v>488</v>
      </c>
      <c r="J4" s="1790"/>
      <c r="K4" s="1791"/>
      <c r="L4" s="1789" t="s">
        <v>489</v>
      </c>
      <c r="M4" s="1790"/>
      <c r="N4" s="1791"/>
      <c r="O4" s="1789" t="s">
        <v>490</v>
      </c>
      <c r="P4" s="1790"/>
      <c r="Q4" s="1791"/>
      <c r="R4" s="1789" t="s">
        <v>491</v>
      </c>
      <c r="S4" s="1790"/>
      <c r="T4" s="1791"/>
      <c r="U4" s="1789" t="s">
        <v>805</v>
      </c>
      <c r="V4" s="1790"/>
      <c r="W4" s="1791"/>
      <c r="X4" s="1789" t="s">
        <v>806</v>
      </c>
      <c r="Y4" s="1790"/>
      <c r="Z4" s="1791"/>
      <c r="AA4" s="1789" t="s">
        <v>807</v>
      </c>
      <c r="AB4" s="1790"/>
      <c r="AC4" s="1791"/>
      <c r="AD4" s="1789" t="s">
        <v>808</v>
      </c>
      <c r="AE4" s="1790"/>
      <c r="AF4" s="1791"/>
      <c r="AG4" s="1789" t="s">
        <v>809</v>
      </c>
      <c r="AH4" s="1790"/>
      <c r="AI4" s="1791"/>
      <c r="AJ4" s="1789" t="s">
        <v>482</v>
      </c>
      <c r="AK4" s="1790"/>
      <c r="AL4" s="1791"/>
      <c r="AM4" s="1789" t="s">
        <v>486</v>
      </c>
      <c r="AN4" s="1790"/>
      <c r="AO4" s="1791"/>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93"/>
      <c r="B5" s="1779"/>
      <c r="C5" s="1795"/>
      <c r="D5" s="1775"/>
      <c r="E5" s="1773"/>
      <c r="F5" s="74"/>
      <c r="G5" s="1782"/>
      <c r="H5" s="1787"/>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626102.91211284418</v>
      </c>
      <c r="D6" s="525">
        <f>D12+D15+D18</f>
        <v>682388.75399999996</v>
      </c>
      <c r="E6" s="526">
        <f>E12+E15+E18</f>
        <v>714438.51522393234</v>
      </c>
      <c r="F6" s="74"/>
      <c r="G6" s="527" t="s">
        <v>1178</v>
      </c>
      <c r="H6" s="528" t="s">
        <v>842</v>
      </c>
      <c r="I6" s="327">
        <f>I12+I15+I18</f>
        <v>85135.43380313566</v>
      </c>
      <c r="J6" s="529">
        <f t="shared" ref="J6" si="0">J12+J15+J18</f>
        <v>101581.43666666666</v>
      </c>
      <c r="K6" s="530">
        <f t="shared" ref="K6" si="1">K12+K15+K18</f>
        <v>103484.30296620585</v>
      </c>
      <c r="L6" s="327">
        <f>L12+L15+L18</f>
        <v>75324.836922026821</v>
      </c>
      <c r="M6" s="529">
        <f t="shared" ref="M6:N6" si="2">M12+M15+M18</f>
        <v>75135.148666666661</v>
      </c>
      <c r="N6" s="530">
        <f t="shared" si="2"/>
        <v>78670.932850098048</v>
      </c>
      <c r="O6" s="531">
        <f>O12+O15+O18</f>
        <v>71372.388986752121</v>
      </c>
      <c r="P6" s="532">
        <f t="shared" ref="P6:Q6" si="3">P12+P15+P18</f>
        <v>33736.668666666665</v>
      </c>
      <c r="Q6" s="533">
        <f t="shared" si="3"/>
        <v>35453.196732924342</v>
      </c>
      <c r="R6" s="327">
        <f>R12+R15+R18</f>
        <v>35056.967999684719</v>
      </c>
      <c r="S6" s="529">
        <f t="shared" ref="S6:T6" si="4">S12+S15+S18</f>
        <v>21315.551666666663</v>
      </c>
      <c r="T6" s="530">
        <f t="shared" si="4"/>
        <v>20205.344310451972</v>
      </c>
      <c r="U6" s="531">
        <f>U12+U15+U18</f>
        <v>11930.728039941714</v>
      </c>
      <c r="V6" s="532">
        <f t="shared" ref="V6:W6" si="5">V12+V15+V18</f>
        <v>24090.74666666667</v>
      </c>
      <c r="W6" s="533">
        <f t="shared" si="5"/>
        <v>21690.61704666667</v>
      </c>
      <c r="X6" s="327">
        <f>X12+X15+X18</f>
        <v>11553.216382739296</v>
      </c>
      <c r="Y6" s="529">
        <f t="shared" ref="Y6:Z6" si="6">Y12+Y15+Y18</f>
        <v>23504.317666666666</v>
      </c>
      <c r="Z6" s="530">
        <f t="shared" si="6"/>
        <v>21317.38920666667</v>
      </c>
      <c r="AA6" s="531">
        <f>AA12+AA15+AA18</f>
        <v>8155.6114679175062</v>
      </c>
      <c r="AB6" s="532">
        <f t="shared" ref="AB6:AC6" si="7">AB12+AB15+AB18</f>
        <v>13084.833666666667</v>
      </c>
      <c r="AC6" s="533">
        <f t="shared" si="7"/>
        <v>18153.652866666667</v>
      </c>
      <c r="AD6" s="327">
        <f>AD12+AD15+AD18</f>
        <v>11930.728039941714</v>
      </c>
      <c r="AE6" s="529">
        <f t="shared" ref="AE6:AF6" si="8">AE12+AE15+AE18</f>
        <v>23263.853666666666</v>
      </c>
      <c r="AF6" s="530">
        <f t="shared" si="8"/>
        <v>16487.471346666669</v>
      </c>
      <c r="AG6" s="327">
        <f>AG12+AG15+AG18</f>
        <v>14060.360764088762</v>
      </c>
      <c r="AH6" s="529">
        <f t="shared" ref="AH6:AI6" si="9">AH12+AH15+AH18</f>
        <v>54642.479666666666</v>
      </c>
      <c r="AI6" s="530">
        <f t="shared" si="9"/>
        <v>17024.244486666666</v>
      </c>
      <c r="AJ6" s="327">
        <f>AJ12+AJ15+AJ18</f>
        <v>29060.766966344527</v>
      </c>
      <c r="AK6" s="529">
        <f t="shared" ref="AK6:AL6" si="10">AK12+AK15+AK18</f>
        <v>105892.67766666667</v>
      </c>
      <c r="AL6" s="530">
        <f t="shared" si="10"/>
        <v>74536.147995466672</v>
      </c>
      <c r="AM6" s="327">
        <f>AM12+AM15+AM18</f>
        <v>63271.653480681853</v>
      </c>
      <c r="AN6" s="529">
        <f t="shared" ref="AN6:AO6" si="11">AN12+AN15+AN18</f>
        <v>104121.15166666666</v>
      </c>
      <c r="AO6" s="530">
        <f t="shared" si="11"/>
        <v>105138.019298374</v>
      </c>
      <c r="AP6" s="534">
        <f>AP12+AP15+AP18</f>
        <v>78783.259272497104</v>
      </c>
      <c r="AQ6" s="535">
        <f t="shared" ref="AQ6:AR6" si="12">AQ12+AQ15+AQ18</f>
        <v>102019.88766666666</v>
      </c>
      <c r="AR6" s="535">
        <f t="shared" si="12"/>
        <v>115773.25332529524</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77.010658189879834</v>
      </c>
      <c r="D7" s="537">
        <f>D6*0.123/1000</f>
        <v>83.933816741999991</v>
      </c>
      <c r="E7" s="538">
        <f>E6*0.123/1000</f>
        <v>87.875937372543675</v>
      </c>
      <c r="F7" s="74"/>
      <c r="G7" s="539" t="s">
        <v>874</v>
      </c>
      <c r="H7" s="540" t="s">
        <v>1180</v>
      </c>
      <c r="I7" s="536">
        <f t="shared" ref="I7:AR7" si="13">I6*0.123/1000</f>
        <v>10.471658357785685</v>
      </c>
      <c r="J7" s="537">
        <f t="shared" si="13"/>
        <v>12.494516709999999</v>
      </c>
      <c r="K7" s="538">
        <f t="shared" si="13"/>
        <v>12.728569264843319</v>
      </c>
      <c r="L7" s="536">
        <f t="shared" si="13"/>
        <v>9.2649549414092984</v>
      </c>
      <c r="M7" s="537">
        <f t="shared" si="13"/>
        <v>9.2416232859999994</v>
      </c>
      <c r="N7" s="538">
        <f t="shared" si="13"/>
        <v>9.6765247405620602</v>
      </c>
      <c r="O7" s="536">
        <f t="shared" si="13"/>
        <v>8.7788038453705095</v>
      </c>
      <c r="P7" s="537">
        <f t="shared" si="13"/>
        <v>4.1496102459999991</v>
      </c>
      <c r="Q7" s="538">
        <f t="shared" si="13"/>
        <v>4.3607431981496942</v>
      </c>
      <c r="R7" s="536">
        <f t="shared" si="13"/>
        <v>4.3120070639612207</v>
      </c>
      <c r="S7" s="537">
        <f t="shared" si="13"/>
        <v>2.6218128549999995</v>
      </c>
      <c r="T7" s="538">
        <f t="shared" si="13"/>
        <v>2.4852573501855928</v>
      </c>
      <c r="U7" s="536">
        <f t="shared" si="13"/>
        <v>1.4674795489128307</v>
      </c>
      <c r="V7" s="537">
        <f t="shared" si="13"/>
        <v>2.9631618400000002</v>
      </c>
      <c r="W7" s="538">
        <f t="shared" si="13"/>
        <v>2.6679458967400005</v>
      </c>
      <c r="X7" s="536">
        <f t="shared" si="13"/>
        <v>1.4210456150769335</v>
      </c>
      <c r="Y7" s="537">
        <f t="shared" si="13"/>
        <v>2.8910310729999997</v>
      </c>
      <c r="Z7" s="538">
        <f t="shared" si="13"/>
        <v>2.6220388724200006</v>
      </c>
      <c r="AA7" s="536">
        <f t="shared" si="13"/>
        <v>1.0031402105538532</v>
      </c>
      <c r="AB7" s="537">
        <f t="shared" si="13"/>
        <v>1.6094345410000002</v>
      </c>
      <c r="AC7" s="541">
        <f t="shared" si="13"/>
        <v>2.2328993025999999</v>
      </c>
      <c r="AD7" s="536">
        <f t="shared" si="13"/>
        <v>1.4674795489128307</v>
      </c>
      <c r="AE7" s="537">
        <f t="shared" si="13"/>
        <v>2.8614540010000002</v>
      </c>
      <c r="AF7" s="538">
        <f t="shared" si="13"/>
        <v>2.0279589756400003</v>
      </c>
      <c r="AG7" s="536">
        <f t="shared" si="13"/>
        <v>1.7294243739829178</v>
      </c>
      <c r="AH7" s="537">
        <f t="shared" si="13"/>
        <v>6.7210249989999999</v>
      </c>
      <c r="AI7" s="538">
        <f t="shared" si="13"/>
        <v>2.0939820718599997</v>
      </c>
      <c r="AJ7" s="536">
        <f t="shared" si="13"/>
        <v>3.5744743368603769</v>
      </c>
      <c r="AK7" s="537">
        <f t="shared" si="13"/>
        <v>13.024799353000001</v>
      </c>
      <c r="AL7" s="538">
        <f t="shared" si="13"/>
        <v>9.1679462034424013</v>
      </c>
      <c r="AM7" s="536">
        <f t="shared" si="13"/>
        <v>7.7824133781238682</v>
      </c>
      <c r="AN7" s="537">
        <f t="shared" si="13"/>
        <v>12.806901654999997</v>
      </c>
      <c r="AO7" s="538">
        <f t="shared" si="13"/>
        <v>12.931976373700001</v>
      </c>
      <c r="AP7" s="542">
        <f t="shared" si="13"/>
        <v>9.6903408905171435</v>
      </c>
      <c r="AQ7" s="537">
        <f t="shared" si="13"/>
        <v>12.548446182999999</v>
      </c>
      <c r="AR7" s="538">
        <f t="shared" si="13"/>
        <v>14.240110159011314</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622857.3121128442</v>
      </c>
      <c r="D9" s="525">
        <f>D12+D15</f>
        <v>679143.15399999998</v>
      </c>
      <c r="E9" s="556">
        <f>E12+E15</f>
        <v>711192.91522393236</v>
      </c>
      <c r="F9" s="456"/>
      <c r="G9" s="557" t="s">
        <v>1183</v>
      </c>
      <c r="H9" s="528" t="s">
        <v>842</v>
      </c>
      <c r="I9" s="327">
        <f t="shared" ref="I9:AR9" si="16">I12+I15</f>
        <v>84862.927136468992</v>
      </c>
      <c r="J9" s="529">
        <f t="shared" si="16"/>
        <v>101308.93</v>
      </c>
      <c r="K9" s="530">
        <f t="shared" si="16"/>
        <v>103211.79629953919</v>
      </c>
      <c r="L9" s="327">
        <f t="shared" si="16"/>
        <v>75056.65025536016</v>
      </c>
      <c r="M9" s="529">
        <f t="shared" si="16"/>
        <v>74866.962</v>
      </c>
      <c r="N9" s="530">
        <f t="shared" si="16"/>
        <v>78402.746183431387</v>
      </c>
      <c r="O9" s="327">
        <f t="shared" si="16"/>
        <v>71099.882320085453</v>
      </c>
      <c r="P9" s="529">
        <f t="shared" si="16"/>
        <v>33464.161999999997</v>
      </c>
      <c r="Q9" s="530">
        <f t="shared" si="16"/>
        <v>35180.690066257674</v>
      </c>
      <c r="R9" s="327">
        <f t="shared" si="16"/>
        <v>34785.901333018053</v>
      </c>
      <c r="S9" s="529">
        <f t="shared" si="16"/>
        <v>21044.484999999997</v>
      </c>
      <c r="T9" s="530">
        <f t="shared" si="16"/>
        <v>19934.277643785306</v>
      </c>
      <c r="U9" s="327">
        <f t="shared" si="16"/>
        <v>11658.221373275048</v>
      </c>
      <c r="V9" s="529">
        <f t="shared" si="16"/>
        <v>23818.240000000002</v>
      </c>
      <c r="W9" s="530">
        <f t="shared" si="16"/>
        <v>21418.110380000002</v>
      </c>
      <c r="X9" s="327">
        <f t="shared" si="16"/>
        <v>11282.149716072629</v>
      </c>
      <c r="Y9" s="529">
        <f t="shared" si="16"/>
        <v>23233.251</v>
      </c>
      <c r="Z9" s="530">
        <f t="shared" si="16"/>
        <v>21046.322540000005</v>
      </c>
      <c r="AA9" s="327">
        <f t="shared" si="16"/>
        <v>7897.5048012508396</v>
      </c>
      <c r="AB9" s="529">
        <f t="shared" si="16"/>
        <v>12826.727000000001</v>
      </c>
      <c r="AC9" s="530">
        <f t="shared" si="16"/>
        <v>17895.546200000001</v>
      </c>
      <c r="AD9" s="327">
        <f t="shared" si="16"/>
        <v>11658.221373275048</v>
      </c>
      <c r="AE9" s="529">
        <f t="shared" si="16"/>
        <v>22991.346999999998</v>
      </c>
      <c r="AF9" s="530">
        <f t="shared" si="16"/>
        <v>16214.964680000001</v>
      </c>
      <c r="AG9" s="327">
        <f t="shared" si="16"/>
        <v>13789.294097422095</v>
      </c>
      <c r="AH9" s="529">
        <f t="shared" si="16"/>
        <v>54371.413</v>
      </c>
      <c r="AI9" s="530">
        <f t="shared" si="16"/>
        <v>16753.177820000001</v>
      </c>
      <c r="AJ9" s="327">
        <f t="shared" si="16"/>
        <v>28788.260299677859</v>
      </c>
      <c r="AK9" s="529">
        <f t="shared" si="16"/>
        <v>105620.171</v>
      </c>
      <c r="AL9" s="530">
        <f t="shared" si="16"/>
        <v>74263.641328800004</v>
      </c>
      <c r="AM9" s="327">
        <f t="shared" si="16"/>
        <v>63000.586814015187</v>
      </c>
      <c r="AN9" s="529">
        <f t="shared" si="16"/>
        <v>103850.08499999999</v>
      </c>
      <c r="AO9" s="530">
        <f t="shared" si="16"/>
        <v>104866.95263170733</v>
      </c>
      <c r="AP9" s="534">
        <f t="shared" si="16"/>
        <v>78510.752605830436</v>
      </c>
      <c r="AQ9" s="535">
        <f t="shared" si="16"/>
        <v>101747.38099999999</v>
      </c>
      <c r="AR9" s="535">
        <f t="shared" si="16"/>
        <v>115500.74665862857</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535.65728841704595</v>
      </c>
      <c r="D10" s="559">
        <f>D9*0.86/1000</f>
        <v>584.06311243999994</v>
      </c>
      <c r="E10" s="560">
        <f>E9*0.86/1000</f>
        <v>611.62590709258188</v>
      </c>
      <c r="F10" s="74">
        <f>C10/'Ввод исходных данных'!$G$45</f>
        <v>0.22513230295340894</v>
      </c>
      <c r="G10" s="539" t="s">
        <v>874</v>
      </c>
      <c r="H10" s="540" t="s">
        <v>1184</v>
      </c>
      <c r="I10" s="561">
        <f t="shared" ref="I10:AR10" si="17">I9*0.86/1000</f>
        <v>72.982117337363334</v>
      </c>
      <c r="J10" s="286">
        <f t="shared" si="17"/>
        <v>87.1256798</v>
      </c>
      <c r="K10" s="562">
        <f t="shared" si="17"/>
        <v>88.762144817603698</v>
      </c>
      <c r="L10" s="561">
        <f t="shared" si="17"/>
        <v>64.548719219609737</v>
      </c>
      <c r="M10" s="286">
        <f t="shared" si="17"/>
        <v>64.385587319999999</v>
      </c>
      <c r="N10" s="562">
        <f t="shared" si="17"/>
        <v>67.426361717750993</v>
      </c>
      <c r="O10" s="561">
        <f t="shared" si="17"/>
        <v>61.145898795273489</v>
      </c>
      <c r="P10" s="286">
        <f t="shared" si="17"/>
        <v>28.779179319999997</v>
      </c>
      <c r="Q10" s="562">
        <f t="shared" si="17"/>
        <v>30.255393456981597</v>
      </c>
      <c r="R10" s="561">
        <f t="shared" si="17"/>
        <v>29.915875146395528</v>
      </c>
      <c r="S10" s="286">
        <f t="shared" si="17"/>
        <v>18.098257099999998</v>
      </c>
      <c r="T10" s="562">
        <f t="shared" si="17"/>
        <v>17.143478773655364</v>
      </c>
      <c r="U10" s="561">
        <f t="shared" si="17"/>
        <v>10.026070381016542</v>
      </c>
      <c r="V10" s="286">
        <f t="shared" si="17"/>
        <v>20.483686400000003</v>
      </c>
      <c r="W10" s="562">
        <f t="shared" si="17"/>
        <v>18.419574926799999</v>
      </c>
      <c r="X10" s="561">
        <f t="shared" si="17"/>
        <v>9.7026487558224606</v>
      </c>
      <c r="Y10" s="286">
        <f t="shared" si="17"/>
        <v>19.980595860000001</v>
      </c>
      <c r="Z10" s="562">
        <f t="shared" si="17"/>
        <v>18.099837384400004</v>
      </c>
      <c r="AA10" s="561">
        <f t="shared" si="17"/>
        <v>6.7918541290757224</v>
      </c>
      <c r="AB10" s="286">
        <f t="shared" si="17"/>
        <v>11.03098522</v>
      </c>
      <c r="AC10" s="562">
        <f t="shared" si="17"/>
        <v>15.390169732</v>
      </c>
      <c r="AD10" s="561">
        <f t="shared" si="17"/>
        <v>10.026070381016542</v>
      </c>
      <c r="AE10" s="286">
        <f t="shared" si="17"/>
        <v>19.772558419999999</v>
      </c>
      <c r="AF10" s="562">
        <f t="shared" si="17"/>
        <v>13.944869624800001</v>
      </c>
      <c r="AG10" s="561">
        <f t="shared" si="17"/>
        <v>11.858792923783001</v>
      </c>
      <c r="AH10" s="286">
        <f t="shared" si="17"/>
        <v>46.759415179999998</v>
      </c>
      <c r="AI10" s="562">
        <f t="shared" si="17"/>
        <v>14.407732925199999</v>
      </c>
      <c r="AJ10" s="561">
        <f t="shared" si="17"/>
        <v>24.757903857722958</v>
      </c>
      <c r="AK10" s="286">
        <f t="shared" si="17"/>
        <v>90.833347059999994</v>
      </c>
      <c r="AL10" s="562">
        <f t="shared" si="17"/>
        <v>63.866731542768001</v>
      </c>
      <c r="AM10" s="561">
        <f t="shared" si="17"/>
        <v>54.18050466005306</v>
      </c>
      <c r="AN10" s="286">
        <f t="shared" si="17"/>
        <v>89.311073099999987</v>
      </c>
      <c r="AO10" s="562">
        <f t="shared" si="17"/>
        <v>90.185579263268295</v>
      </c>
      <c r="AP10" s="563">
        <f t="shared" si="17"/>
        <v>67.519247241014185</v>
      </c>
      <c r="AQ10" s="286">
        <f t="shared" si="17"/>
        <v>87.502747659999997</v>
      </c>
      <c r="AR10" s="286">
        <f t="shared" si="17"/>
        <v>99.330642126420571</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0.99481618766306745</v>
      </c>
      <c r="D11" s="565">
        <f>D9/$D$6</f>
        <v>0.99524376686899507</v>
      </c>
      <c r="E11" s="566"/>
      <c r="F11" s="74">
        <f>E10/'Ввод исходных данных'!$G$45</f>
        <v>0.25706128150825108</v>
      </c>
      <c r="G11" s="539"/>
      <c r="H11" s="540"/>
      <c r="I11" s="567">
        <f t="shared" ref="I11:AR11" si="18">I9/I$6</f>
        <v>0.99679913927147179</v>
      </c>
      <c r="J11" s="553">
        <f t="shared" si="18"/>
        <v>0.9973173576235107</v>
      </c>
      <c r="K11" s="568">
        <f t="shared" si="18"/>
        <v>0.99736668597211642</v>
      </c>
      <c r="L11" s="567">
        <f t="shared" si="18"/>
        <v>0.99643959844288443</v>
      </c>
      <c r="M11" s="553">
        <f t="shared" si="18"/>
        <v>0.99643060975554254</v>
      </c>
      <c r="N11" s="568">
        <f t="shared" si="18"/>
        <v>0.99659103232984825</v>
      </c>
      <c r="O11" s="567">
        <f t="shared" si="18"/>
        <v>0.99618190352690517</v>
      </c>
      <c r="P11" s="553">
        <f t="shared" si="18"/>
        <v>0.99192253777753947</v>
      </c>
      <c r="Q11" s="568">
        <f t="shared" si="18"/>
        <v>0.99231362213344221</v>
      </c>
      <c r="R11" s="567">
        <f t="shared" si="18"/>
        <v>0.99226782342759634</v>
      </c>
      <c r="S11" s="553">
        <f t="shared" si="18"/>
        <v>0.98728315030708025</v>
      </c>
      <c r="T11" s="568">
        <f t="shared" si="18"/>
        <v>0.986584407446774</v>
      </c>
      <c r="U11" s="567">
        <f t="shared" si="18"/>
        <v>0.97715925920410152</v>
      </c>
      <c r="V11" s="553">
        <f t="shared" si="18"/>
        <v>0.98868832625085368</v>
      </c>
      <c r="W11" s="568">
        <f t="shared" si="18"/>
        <v>0.98743665677742687</v>
      </c>
      <c r="X11" s="567">
        <f t="shared" si="18"/>
        <v>0.97653755822736554</v>
      </c>
      <c r="Y11" s="553">
        <f t="shared" si="18"/>
        <v>0.98846736712331429</v>
      </c>
      <c r="Z11" s="568">
        <f t="shared" si="18"/>
        <v>0.98728424648821944</v>
      </c>
      <c r="AA11" s="567">
        <f t="shared" si="18"/>
        <v>0.96835226056537826</v>
      </c>
      <c r="AB11" s="553">
        <f t="shared" si="18"/>
        <v>0.98027436395128298</v>
      </c>
      <c r="AC11" s="568">
        <f t="shared" si="18"/>
        <v>0.98578210850662473</v>
      </c>
      <c r="AD11" s="567">
        <f t="shared" si="18"/>
        <v>0.97715925920410152</v>
      </c>
      <c r="AE11" s="553">
        <f t="shared" si="18"/>
        <v>0.98828626286206722</v>
      </c>
      <c r="AF11" s="568">
        <f t="shared" si="18"/>
        <v>0.98347189445022076</v>
      </c>
      <c r="AG11" s="567">
        <f t="shared" si="18"/>
        <v>0.980721215393065</v>
      </c>
      <c r="AH11" s="553">
        <f t="shared" si="18"/>
        <v>0.99503926856320868</v>
      </c>
      <c r="AI11" s="568">
        <f t="shared" si="18"/>
        <v>0.98407760961850821</v>
      </c>
      <c r="AJ11" s="567">
        <f t="shared" si="18"/>
        <v>0.99062286735301031</v>
      </c>
      <c r="AK11" s="553">
        <f t="shared" si="18"/>
        <v>0.9974265768637518</v>
      </c>
      <c r="AL11" s="568">
        <f t="shared" si="18"/>
        <v>0.99634396633049449</v>
      </c>
      <c r="AM11" s="567">
        <f t="shared" si="18"/>
        <v>0.99571582767709033</v>
      </c>
      <c r="AN11" s="553">
        <f t="shared" si="18"/>
        <v>0.99739662246980842</v>
      </c>
      <c r="AO11" s="568">
        <f t="shared" si="18"/>
        <v>0.99742180166151506</v>
      </c>
      <c r="AP11" s="552">
        <f t="shared" si="18"/>
        <v>0.99654105873274279</v>
      </c>
      <c r="AQ11" s="553">
        <f t="shared" si="18"/>
        <v>0.99732888681903831</v>
      </c>
      <c r="AR11" s="553">
        <f t="shared" si="18"/>
        <v>0.9976462036019581</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345872.83482100128</v>
      </c>
      <c r="D12" s="572">
        <f>D35</f>
        <v>447529.73102783097</v>
      </c>
      <c r="E12" s="573">
        <f>E35</f>
        <v>479579.49225176341</v>
      </c>
      <c r="F12" s="74"/>
      <c r="G12" s="574" t="s">
        <v>1185</v>
      </c>
      <c r="H12" s="575" t="s">
        <v>842</v>
      </c>
      <c r="I12" s="576">
        <f t="shared" ref="I12:AR12" si="19">I35</f>
        <v>69030.774654243622</v>
      </c>
      <c r="J12" s="305">
        <f t="shared" si="19"/>
        <v>82584.397400000002</v>
      </c>
      <c r="K12" s="577">
        <f t="shared" si="19"/>
        <v>84487.26369953918</v>
      </c>
      <c r="L12" s="578">
        <f t="shared" si="19"/>
        <v>60756.64156173724</v>
      </c>
      <c r="M12" s="305">
        <f t="shared" si="19"/>
        <v>55484.613339999996</v>
      </c>
      <c r="N12" s="577">
        <f t="shared" si="19"/>
        <v>59020.397523431384</v>
      </c>
      <c r="O12" s="578">
        <f t="shared" si="19"/>
        <v>55267.729837860083</v>
      </c>
      <c r="P12" s="305">
        <f t="shared" si="19"/>
        <v>13989.703740000001</v>
      </c>
      <c r="Q12" s="577">
        <f t="shared" si="19"/>
        <v>15706.231806257672</v>
      </c>
      <c r="R12" s="578">
        <f t="shared" si="19"/>
        <v>23503.751616945425</v>
      </c>
      <c r="S12" s="305">
        <f t="shared" si="19"/>
        <v>-2845.8610000000031</v>
      </c>
      <c r="T12" s="577">
        <f t="shared" si="19"/>
        <v>-3956.0683562146937</v>
      </c>
      <c r="U12" s="576">
        <f t="shared" si="19"/>
        <v>0</v>
      </c>
      <c r="V12" s="305">
        <f t="shared" si="19"/>
        <v>2400.1296199999992</v>
      </c>
      <c r="W12" s="577">
        <f t="shared" si="19"/>
        <v>0</v>
      </c>
      <c r="X12" s="576">
        <f t="shared" si="19"/>
        <v>0</v>
      </c>
      <c r="Y12" s="305">
        <f t="shared" si="19"/>
        <v>2186.9284599999969</v>
      </c>
      <c r="Z12" s="577">
        <f t="shared" si="19"/>
        <v>0</v>
      </c>
      <c r="AA12" s="578">
        <f t="shared" si="19"/>
        <v>0</v>
      </c>
      <c r="AB12" s="305">
        <f t="shared" si="19"/>
        <v>-5068.8191999999999</v>
      </c>
      <c r="AC12" s="577">
        <f t="shared" si="19"/>
        <v>0</v>
      </c>
      <c r="AD12" s="576">
        <f t="shared" si="19"/>
        <v>0</v>
      </c>
      <c r="AE12" s="305">
        <f t="shared" si="19"/>
        <v>6776.382319999997</v>
      </c>
      <c r="AF12" s="577">
        <f t="shared" si="19"/>
        <v>0</v>
      </c>
      <c r="AG12" s="578">
        <f t="shared" si="19"/>
        <v>0</v>
      </c>
      <c r="AH12" s="305">
        <f t="shared" si="19"/>
        <v>37618.235180000003</v>
      </c>
      <c r="AI12" s="577">
        <f t="shared" si="19"/>
        <v>0</v>
      </c>
      <c r="AJ12" s="576">
        <f t="shared" si="19"/>
        <v>17130.038926402813</v>
      </c>
      <c r="AK12" s="305">
        <f t="shared" si="19"/>
        <v>87425.26860000001</v>
      </c>
      <c r="AL12" s="577">
        <f t="shared" si="19"/>
        <v>56068.738928799998</v>
      </c>
      <c r="AM12" s="578">
        <f t="shared" si="19"/>
        <v>47679.148927990638</v>
      </c>
      <c r="AN12" s="305">
        <f t="shared" si="19"/>
        <v>83383.145799999998</v>
      </c>
      <c r="AO12" s="577">
        <f t="shared" si="19"/>
        <v>84400.013431707339</v>
      </c>
      <c r="AP12" s="579">
        <f t="shared" si="19"/>
        <v>62678.600123605065</v>
      </c>
      <c r="AQ12" s="305">
        <f t="shared" si="19"/>
        <v>82994.447939999998</v>
      </c>
      <c r="AR12" s="305">
        <f t="shared" si="19"/>
        <v>96747.813598628578</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297.45063794606108</v>
      </c>
      <c r="D13" s="559">
        <f>D36</f>
        <v>384.80630354929576</v>
      </c>
      <c r="E13" s="560">
        <f>E36</f>
        <v>412.43836333651655</v>
      </c>
      <c r="F13" s="74">
        <f>C13/'Ввод исходных данных'!$G$45</f>
        <v>0.12501602906151432</v>
      </c>
      <c r="G13" s="539" t="s">
        <v>874</v>
      </c>
      <c r="H13" s="540" t="s">
        <v>1184</v>
      </c>
      <c r="I13" s="561">
        <f>I12*0.86/1000</f>
        <v>59.366466202649512</v>
      </c>
      <c r="J13" s="286">
        <f>J36</f>
        <v>71.009799999999998</v>
      </c>
      <c r="K13" s="562">
        <f>K36</f>
        <v>72.645970506912448</v>
      </c>
      <c r="L13" s="561">
        <f>L12*0.86/1000</f>
        <v>52.25071174309403</v>
      </c>
      <c r="M13" s="286">
        <f>M36</f>
        <v>47.708179999999999</v>
      </c>
      <c r="N13" s="562">
        <f>N36</f>
        <v>50.748407156862754</v>
      </c>
      <c r="O13" s="561">
        <f>O12*0.86/1000</f>
        <v>47.530247660559667</v>
      </c>
      <c r="P13" s="286">
        <f>P36</f>
        <v>12.028980000000001</v>
      </c>
      <c r="Q13" s="562">
        <f>Q36</f>
        <v>13.504928466257672</v>
      </c>
      <c r="R13" s="561">
        <f>R12*0.86/1000</f>
        <v>20.213226390573066</v>
      </c>
      <c r="S13" s="286">
        <f>S36</f>
        <v>-2.4470000000000027</v>
      </c>
      <c r="T13" s="562">
        <f>T36</f>
        <v>-3.4016064971751452</v>
      </c>
      <c r="U13" s="561">
        <f>U12*0.86/1000</f>
        <v>0</v>
      </c>
      <c r="V13" s="286">
        <f>V36</f>
        <v>2.0637399999999992</v>
      </c>
      <c r="W13" s="562">
        <f>W36</f>
        <v>0</v>
      </c>
      <c r="X13" s="561">
        <f>X12*0.86/1000</f>
        <v>0</v>
      </c>
      <c r="Y13" s="286">
        <f>Y36</f>
        <v>1.8804199999999973</v>
      </c>
      <c r="Z13" s="562">
        <f>Z36</f>
        <v>0</v>
      </c>
      <c r="AA13" s="561">
        <f>AA12*0.86/1000</f>
        <v>0</v>
      </c>
      <c r="AB13" s="286">
        <f>AB36</f>
        <v>-4.3583999999999996</v>
      </c>
      <c r="AC13" s="562">
        <f>AC36</f>
        <v>0</v>
      </c>
      <c r="AD13" s="561">
        <f>AD12*0.86/1000</f>
        <v>0</v>
      </c>
      <c r="AE13" s="286">
        <f>AE36</f>
        <v>5.8266399999999976</v>
      </c>
      <c r="AF13" s="562">
        <f>AF36</f>
        <v>0</v>
      </c>
      <c r="AG13" s="561">
        <f>AG12*0.86/1000</f>
        <v>0</v>
      </c>
      <c r="AH13" s="286">
        <f>AH36</f>
        <v>32.345860000000002</v>
      </c>
      <c r="AI13" s="562">
        <f>AI36</f>
        <v>0</v>
      </c>
      <c r="AJ13" s="561">
        <f>AJ12*0.86/1000</f>
        <v>14.731833476706418</v>
      </c>
      <c r="AK13" s="286">
        <f>AK36</f>
        <v>75.172200000000004</v>
      </c>
      <c r="AL13" s="562">
        <f>AL36</f>
        <v>48.210437599999999</v>
      </c>
      <c r="AM13" s="561">
        <f>AM12*0.86/1000</f>
        <v>41.004068078071946</v>
      </c>
      <c r="AN13" s="286">
        <f>AN36</f>
        <v>71.696600000000004</v>
      </c>
      <c r="AO13" s="562">
        <f>AO36</f>
        <v>72.570948780487825</v>
      </c>
      <c r="AP13" s="563">
        <f>AP12*0.86/1000</f>
        <v>53.903596106300355</v>
      </c>
      <c r="AQ13" s="286">
        <f>AQ36</f>
        <v>71.362380000000002</v>
      </c>
      <c r="AR13" s="286">
        <f>AR36</f>
        <v>83.188145828571436</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0.55242169957941945</v>
      </c>
      <c r="D14" s="565">
        <f>D12/$D$6</f>
        <v>0.65582811616475001</v>
      </c>
      <c r="E14" s="566"/>
      <c r="F14" s="74">
        <f>E13/'Ввод исходных данных'!$G$45</f>
        <v>0.17334441362439226</v>
      </c>
      <c r="G14" s="539"/>
      <c r="H14" s="540"/>
      <c r="I14" s="567">
        <f t="shared" ref="I14:AR14" si="20">I12/I$6</f>
        <v>0.81083482600051215</v>
      </c>
      <c r="J14" s="553">
        <f t="shared" si="20"/>
        <v>0.81298709793794022</v>
      </c>
      <c r="K14" s="568">
        <f t="shared" si="20"/>
        <v>0.81642588564499097</v>
      </c>
      <c r="L14" s="567">
        <f t="shared" si="20"/>
        <v>0.80659506272320269</v>
      </c>
      <c r="M14" s="553">
        <f t="shared" si="20"/>
        <v>0.73846414527180504</v>
      </c>
      <c r="N14" s="568">
        <f t="shared" si="20"/>
        <v>0.75021860533789042</v>
      </c>
      <c r="O14" s="567">
        <f t="shared" si="20"/>
        <v>0.77435729169887635</v>
      </c>
      <c r="P14" s="553">
        <f t="shared" si="20"/>
        <v>0.41467353751564845</v>
      </c>
      <c r="Q14" s="568">
        <f t="shared" si="20"/>
        <v>0.4430131343183436</v>
      </c>
      <c r="R14" s="567">
        <f t="shared" si="20"/>
        <v>0.6704445066999748</v>
      </c>
      <c r="S14" s="553">
        <f t="shared" si="20"/>
        <v>-0.13351101789452491</v>
      </c>
      <c r="T14" s="568">
        <f t="shared" si="20"/>
        <v>-0.19579316716559336</v>
      </c>
      <c r="U14" s="567">
        <f t="shared" si="20"/>
        <v>0</v>
      </c>
      <c r="V14" s="553">
        <f t="shared" si="20"/>
        <v>9.9628693672701954E-2</v>
      </c>
      <c r="W14" s="568">
        <f t="shared" si="20"/>
        <v>0</v>
      </c>
      <c r="X14" s="567">
        <f t="shared" si="20"/>
        <v>0</v>
      </c>
      <c r="Y14" s="553">
        <f t="shared" si="20"/>
        <v>9.3043690568454726E-2</v>
      </c>
      <c r="Z14" s="568">
        <f t="shared" si="20"/>
        <v>0</v>
      </c>
      <c r="AA14" s="567">
        <f t="shared" si="20"/>
        <v>0</v>
      </c>
      <c r="AB14" s="553">
        <f t="shared" si="20"/>
        <v>-0.38738124833124227</v>
      </c>
      <c r="AC14" s="568">
        <f t="shared" si="20"/>
        <v>0</v>
      </c>
      <c r="AD14" s="567">
        <f t="shared" si="20"/>
        <v>0</v>
      </c>
      <c r="AE14" s="553">
        <f t="shared" si="20"/>
        <v>0.29128374073765151</v>
      </c>
      <c r="AF14" s="568">
        <f t="shared" si="20"/>
        <v>0</v>
      </c>
      <c r="AG14" s="567">
        <f t="shared" si="20"/>
        <v>0</v>
      </c>
      <c r="AH14" s="553">
        <f t="shared" si="20"/>
        <v>0.6884430466823801</v>
      </c>
      <c r="AI14" s="568">
        <f t="shared" si="20"/>
        <v>0</v>
      </c>
      <c r="AJ14" s="567">
        <f t="shared" si="20"/>
        <v>0.58945584423980368</v>
      </c>
      <c r="AK14" s="553">
        <f t="shared" si="20"/>
        <v>0.82560258675487341</v>
      </c>
      <c r="AL14" s="568">
        <f t="shared" si="20"/>
        <v>0.75223553184167935</v>
      </c>
      <c r="AM14" s="567">
        <f t="shared" si="20"/>
        <v>0.75356255613816181</v>
      </c>
      <c r="AN14" s="553">
        <f t="shared" si="20"/>
        <v>0.80082811672063248</v>
      </c>
      <c r="AO14" s="568">
        <f t="shared" si="20"/>
        <v>0.80275445547615165</v>
      </c>
      <c r="AP14" s="552">
        <f t="shared" si="20"/>
        <v>0.79558272534538177</v>
      </c>
      <c r="AQ14" s="553">
        <f t="shared" si="20"/>
        <v>0.81351244191888172</v>
      </c>
      <c r="AR14" s="553">
        <f t="shared" si="20"/>
        <v>0.83566636351481194</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276984.47729184292</v>
      </c>
      <c r="D15" s="581">
        <f>D85</f>
        <v>231613.42297216901</v>
      </c>
      <c r="E15" s="582">
        <f>D85</f>
        <v>231613.42297216901</v>
      </c>
      <c r="F15" s="74">
        <f>E13/C13-1</f>
        <v>0.38657750470619945</v>
      </c>
      <c r="G15" s="574" t="s">
        <v>999</v>
      </c>
      <c r="H15" s="575" t="s">
        <v>842</v>
      </c>
      <c r="I15" s="576">
        <f t="shared" ref="I15:J15" si="21">I85</f>
        <v>15832.15248222537</v>
      </c>
      <c r="J15" s="305">
        <f t="shared" si="21"/>
        <v>18724.532599999999</v>
      </c>
      <c r="K15" s="583">
        <f>J15</f>
        <v>18724.532599999999</v>
      </c>
      <c r="L15" s="576">
        <f>K85</f>
        <v>14300.008693622915</v>
      </c>
      <c r="M15" s="305">
        <f>L85</f>
        <v>19382.34866</v>
      </c>
      <c r="N15" s="584">
        <f>M15</f>
        <v>19382.34866</v>
      </c>
      <c r="O15" s="578">
        <f>M85</f>
        <v>15832.15248222537</v>
      </c>
      <c r="P15" s="306">
        <f>N85</f>
        <v>19474.458259999999</v>
      </c>
      <c r="Q15" s="583">
        <f>P15</f>
        <v>19474.458259999999</v>
      </c>
      <c r="R15" s="578">
        <f>O85</f>
        <v>11282.149716072629</v>
      </c>
      <c r="S15" s="306">
        <f>P85</f>
        <v>23890.346000000001</v>
      </c>
      <c r="T15" s="577">
        <f>S15</f>
        <v>23890.346000000001</v>
      </c>
      <c r="U15" s="576">
        <f>Q85</f>
        <v>11658.221373275048</v>
      </c>
      <c r="V15" s="305">
        <f>R85</f>
        <v>21418.110380000002</v>
      </c>
      <c r="W15" s="583">
        <f>V15</f>
        <v>21418.110380000002</v>
      </c>
      <c r="X15" s="576">
        <f>S85</f>
        <v>11282.149716072629</v>
      </c>
      <c r="Y15" s="305">
        <f>T85</f>
        <v>21046.322540000005</v>
      </c>
      <c r="Z15" s="583">
        <f>Y15</f>
        <v>21046.322540000005</v>
      </c>
      <c r="AA15" s="576">
        <f>U85</f>
        <v>7897.5048012508396</v>
      </c>
      <c r="AB15" s="305">
        <f>V85</f>
        <v>17895.546200000001</v>
      </c>
      <c r="AC15" s="583">
        <f>AB15</f>
        <v>17895.546200000001</v>
      </c>
      <c r="AD15" s="576">
        <f>W85</f>
        <v>11658.221373275048</v>
      </c>
      <c r="AE15" s="305">
        <f>X85</f>
        <v>16214.964680000001</v>
      </c>
      <c r="AF15" s="577">
        <f>AE15</f>
        <v>16214.964680000001</v>
      </c>
      <c r="AG15" s="578">
        <f>Y85</f>
        <v>13789.294097422095</v>
      </c>
      <c r="AH15" s="306">
        <f>Z85</f>
        <v>16753.177820000001</v>
      </c>
      <c r="AI15" s="583">
        <f>AH15</f>
        <v>16753.177820000001</v>
      </c>
      <c r="AJ15" s="578">
        <f>AA85</f>
        <v>11658.221373275048</v>
      </c>
      <c r="AK15" s="306">
        <f>AB85</f>
        <v>18194.902399999999</v>
      </c>
      <c r="AL15" s="583">
        <f>AK15</f>
        <v>18194.902399999999</v>
      </c>
      <c r="AM15" s="578">
        <f>AC85</f>
        <v>15321.437886024549</v>
      </c>
      <c r="AN15" s="306">
        <f>AD85</f>
        <v>20466.939200000001</v>
      </c>
      <c r="AO15" s="583">
        <f>AN15</f>
        <v>20466.939200000001</v>
      </c>
      <c r="AP15" s="585">
        <f>AE85</f>
        <v>15832.15248222537</v>
      </c>
      <c r="AQ15" s="305">
        <f>AF85</f>
        <v>18752.933059999999</v>
      </c>
      <c r="AR15" s="306">
        <f>AQ15</f>
        <v>18752.933059999999</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238.2066504709849</v>
      </c>
      <c r="D16" s="664">
        <f>D86</f>
        <v>199.15169645070421</v>
      </c>
      <c r="E16" s="1268">
        <f>D86</f>
        <v>199.15169645070421</v>
      </c>
      <c r="F16" s="74"/>
      <c r="G16" s="539" t="s">
        <v>874</v>
      </c>
      <c r="H16" s="540" t="s">
        <v>1184</v>
      </c>
      <c r="I16" s="561">
        <f>I15*0.86/1000</f>
        <v>13.615651134713818</v>
      </c>
      <c r="J16" s="95">
        <f>J86</f>
        <v>16.100199999999997</v>
      </c>
      <c r="K16" s="586">
        <f>J16</f>
        <v>16.100199999999997</v>
      </c>
      <c r="L16" s="561">
        <f>L15*0.86/1000</f>
        <v>12.298007476515705</v>
      </c>
      <c r="M16" s="95">
        <f>L86</f>
        <v>16.66582</v>
      </c>
      <c r="N16" s="587">
        <f>M16</f>
        <v>16.66582</v>
      </c>
      <c r="O16" s="561">
        <f>O15*0.86/1000</f>
        <v>13.615651134713818</v>
      </c>
      <c r="P16" s="95">
        <f>N86</f>
        <v>16.74502</v>
      </c>
      <c r="Q16" s="586">
        <f>P16</f>
        <v>16.74502</v>
      </c>
      <c r="R16" s="561">
        <f>R15*0.86/1000</f>
        <v>9.7026487558224606</v>
      </c>
      <c r="S16" s="95">
        <f>P86</f>
        <v>20.542000000000002</v>
      </c>
      <c r="T16" s="586">
        <f>S16</f>
        <v>20.542000000000002</v>
      </c>
      <c r="U16" s="561">
        <f>U15*0.86/1000</f>
        <v>10.026070381016542</v>
      </c>
      <c r="V16" s="95">
        <f>R86</f>
        <v>18.416260000000001</v>
      </c>
      <c r="W16" s="586">
        <f>V16</f>
        <v>18.416260000000001</v>
      </c>
      <c r="X16" s="561">
        <f>X15*0.86/1000</f>
        <v>9.7026487558224606</v>
      </c>
      <c r="Y16" s="95">
        <f>T86</f>
        <v>18.096580000000003</v>
      </c>
      <c r="Z16" s="586">
        <f>Y16</f>
        <v>18.096580000000003</v>
      </c>
      <c r="AA16" s="561">
        <f>AA15*0.86/1000</f>
        <v>6.7918541290757224</v>
      </c>
      <c r="AB16" s="95">
        <f>V86</f>
        <v>15.3874</v>
      </c>
      <c r="AC16" s="586">
        <f>AB16</f>
        <v>15.3874</v>
      </c>
      <c r="AD16" s="561">
        <f>AD15*0.86/1000</f>
        <v>10.026070381016542</v>
      </c>
      <c r="AE16" s="95">
        <f>X86</f>
        <v>13.942360000000001</v>
      </c>
      <c r="AF16" s="586">
        <f>AE16</f>
        <v>13.942360000000001</v>
      </c>
      <c r="AG16" s="561">
        <f>AG15*0.86/1000</f>
        <v>11.858792923783001</v>
      </c>
      <c r="AH16" s="95">
        <f>Z86</f>
        <v>14.405139999999999</v>
      </c>
      <c r="AI16" s="586">
        <f>AH16</f>
        <v>14.405139999999999</v>
      </c>
      <c r="AJ16" s="561">
        <f>AJ15*0.86/1000</f>
        <v>10.026070381016542</v>
      </c>
      <c r="AK16" s="95">
        <f>AB86</f>
        <v>15.6448</v>
      </c>
      <c r="AL16" s="586">
        <f>AK16</f>
        <v>15.6448</v>
      </c>
      <c r="AM16" s="561">
        <f>AM15*0.86/1000</f>
        <v>13.176436581981111</v>
      </c>
      <c r="AN16" s="95">
        <f>AD86</f>
        <v>17.598400000000002</v>
      </c>
      <c r="AO16" s="586">
        <f>AN16</f>
        <v>17.598400000000002</v>
      </c>
      <c r="AP16" s="563">
        <f>AP15*0.86/1000</f>
        <v>13.615651134713818</v>
      </c>
      <c r="AQ16" s="95">
        <f>AF86</f>
        <v>16.12462</v>
      </c>
      <c r="AR16" s="95">
        <f>AQ16</f>
        <v>16.12462</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0.44239448808364795</v>
      </c>
      <c r="D17" s="589">
        <f>D15/$D$6</f>
        <v>0.33941565070424506</v>
      </c>
      <c r="E17" s="590"/>
      <c r="F17" s="74"/>
      <c r="G17" s="544"/>
      <c r="H17" s="545"/>
      <c r="I17" s="546">
        <f t="shared" ref="I17:AR17" si="22">I15/I$6</f>
        <v>0.18596431327095969</v>
      </c>
      <c r="J17" s="547">
        <f t="shared" si="22"/>
        <v>0.18433025968557051</v>
      </c>
      <c r="K17" s="548">
        <f t="shared" si="22"/>
        <v>0.18094080032712534</v>
      </c>
      <c r="L17" s="546">
        <f t="shared" si="22"/>
        <v>0.18984453571968163</v>
      </c>
      <c r="M17" s="547">
        <f t="shared" si="22"/>
        <v>0.25796646448373745</v>
      </c>
      <c r="N17" s="591">
        <f t="shared" si="22"/>
        <v>0.24637242699195785</v>
      </c>
      <c r="O17" s="546">
        <f t="shared" si="22"/>
        <v>0.22182461182802884</v>
      </c>
      <c r="P17" s="547">
        <f t="shared" si="22"/>
        <v>0.57724900026189108</v>
      </c>
      <c r="Q17" s="548">
        <f t="shared" si="22"/>
        <v>0.54930048781509855</v>
      </c>
      <c r="R17" s="546">
        <f t="shared" si="22"/>
        <v>0.32182331672762154</v>
      </c>
      <c r="S17" s="547">
        <f t="shared" si="22"/>
        <v>1.1207941682016052</v>
      </c>
      <c r="T17" s="548">
        <f t="shared" si="22"/>
        <v>1.1823775746123675</v>
      </c>
      <c r="U17" s="546">
        <f t="shared" si="22"/>
        <v>0.97715925920410152</v>
      </c>
      <c r="V17" s="547">
        <f t="shared" si="22"/>
        <v>0.88905963257815168</v>
      </c>
      <c r="W17" s="548">
        <f t="shared" si="22"/>
        <v>0.98743665677742687</v>
      </c>
      <c r="X17" s="546">
        <f t="shared" si="22"/>
        <v>0.97653755822736554</v>
      </c>
      <c r="Y17" s="547">
        <f t="shared" si="22"/>
        <v>0.89542367655485955</v>
      </c>
      <c r="Z17" s="548">
        <f t="shared" si="22"/>
        <v>0.98728424648821944</v>
      </c>
      <c r="AA17" s="546">
        <f t="shared" si="22"/>
        <v>0.96835226056537826</v>
      </c>
      <c r="AB17" s="547">
        <f t="shared" si="22"/>
        <v>1.3676556122825252</v>
      </c>
      <c r="AC17" s="548">
        <f t="shared" si="22"/>
        <v>0.98578210850662473</v>
      </c>
      <c r="AD17" s="546">
        <f t="shared" si="22"/>
        <v>0.97715925920410152</v>
      </c>
      <c r="AE17" s="547">
        <f t="shared" si="22"/>
        <v>0.6970025221244156</v>
      </c>
      <c r="AF17" s="548">
        <f t="shared" si="22"/>
        <v>0.98347189445022076</v>
      </c>
      <c r="AG17" s="546">
        <f t="shared" si="22"/>
        <v>0.980721215393065</v>
      </c>
      <c r="AH17" s="547">
        <f t="shared" si="22"/>
        <v>0.30659622188082863</v>
      </c>
      <c r="AI17" s="548">
        <f t="shared" si="22"/>
        <v>0.98407760961850821</v>
      </c>
      <c r="AJ17" s="546">
        <f t="shared" si="22"/>
        <v>0.40116702311320668</v>
      </c>
      <c r="AK17" s="547">
        <f t="shared" si="22"/>
        <v>0.17182399010887855</v>
      </c>
      <c r="AL17" s="548">
        <f t="shared" si="22"/>
        <v>0.24410843448881506</v>
      </c>
      <c r="AM17" s="546">
        <f t="shared" si="22"/>
        <v>0.2421532715389286</v>
      </c>
      <c r="AN17" s="547">
        <f t="shared" si="22"/>
        <v>0.19656850574917609</v>
      </c>
      <c r="AO17" s="548">
        <f t="shared" si="22"/>
        <v>0.19466734618536352</v>
      </c>
      <c r="AP17" s="549">
        <f t="shared" si="22"/>
        <v>0.20095833338736097</v>
      </c>
      <c r="AQ17" s="550">
        <f t="shared" si="22"/>
        <v>0.18381644490015661</v>
      </c>
      <c r="AR17" s="550">
        <f t="shared" si="22"/>
        <v>0.16197984008714628</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3245.6</v>
      </c>
      <c r="D18" s="594">
        <f>D100</f>
        <v>3245.599999999999</v>
      </c>
      <c r="E18" s="595">
        <f>D100</f>
        <v>3245.599999999999</v>
      </c>
      <c r="F18" s="74"/>
      <c r="G18" s="527" t="s">
        <v>1186</v>
      </c>
      <c r="H18" s="528" t="s">
        <v>842</v>
      </c>
      <c r="I18" s="327">
        <f>I100</f>
        <v>272.50666666666666</v>
      </c>
      <c r="J18" s="596">
        <f>J100</f>
        <v>272.50666666666666</v>
      </c>
      <c r="K18" s="597">
        <f>J18</f>
        <v>272.50666666666666</v>
      </c>
      <c r="L18" s="327">
        <f>K100</f>
        <v>268.18666666666667</v>
      </c>
      <c r="M18" s="596">
        <f>L100</f>
        <v>268.18666666666667</v>
      </c>
      <c r="N18" s="597">
        <f>M18</f>
        <v>268.18666666666667</v>
      </c>
      <c r="O18" s="327">
        <f>M100</f>
        <v>272.50666666666666</v>
      </c>
      <c r="P18" s="596">
        <f>N100</f>
        <v>272.50666666666666</v>
      </c>
      <c r="Q18" s="597">
        <f>P18</f>
        <v>272.50666666666666</v>
      </c>
      <c r="R18" s="327">
        <f>O100</f>
        <v>271.06666666666666</v>
      </c>
      <c r="S18" s="596">
        <f>P100</f>
        <v>271.06666666666666</v>
      </c>
      <c r="T18" s="597">
        <f>S18</f>
        <v>271.06666666666666</v>
      </c>
      <c r="U18" s="327">
        <f>Q100</f>
        <v>272.50666666666666</v>
      </c>
      <c r="V18" s="596">
        <f>R100</f>
        <v>272.50666666666666</v>
      </c>
      <c r="W18" s="597">
        <f>V18</f>
        <v>272.50666666666666</v>
      </c>
      <c r="X18" s="327">
        <f>S100</f>
        <v>271.06666666666666</v>
      </c>
      <c r="Y18" s="596">
        <f>T100</f>
        <v>271.06666666666666</v>
      </c>
      <c r="Z18" s="597">
        <f>Y18</f>
        <v>271.06666666666666</v>
      </c>
      <c r="AA18" s="327">
        <f>U100</f>
        <v>258.10666666666668</v>
      </c>
      <c r="AB18" s="596">
        <f>V100</f>
        <v>258.10666666666663</v>
      </c>
      <c r="AC18" s="597">
        <f>AB18</f>
        <v>258.10666666666663</v>
      </c>
      <c r="AD18" s="327">
        <f>W100</f>
        <v>272.50666666666666</v>
      </c>
      <c r="AE18" s="596">
        <f>X100</f>
        <v>272.50666666666666</v>
      </c>
      <c r="AF18" s="597">
        <f>AE18</f>
        <v>272.50666666666666</v>
      </c>
      <c r="AG18" s="327">
        <f>Y100</f>
        <v>271.06666666666666</v>
      </c>
      <c r="AH18" s="596">
        <f>Z100</f>
        <v>271.06666666666666</v>
      </c>
      <c r="AI18" s="597">
        <f>AH18</f>
        <v>271.06666666666666</v>
      </c>
      <c r="AJ18" s="327">
        <f>AA100</f>
        <v>272.50666666666666</v>
      </c>
      <c r="AK18" s="596">
        <f>AB100</f>
        <v>272.50666666666666</v>
      </c>
      <c r="AL18" s="597">
        <f>AK18</f>
        <v>272.50666666666666</v>
      </c>
      <c r="AM18" s="327">
        <f>AC100</f>
        <v>271.06666666666666</v>
      </c>
      <c r="AN18" s="596">
        <f>AD100</f>
        <v>271.06666666666666</v>
      </c>
      <c r="AO18" s="597">
        <f>AN18</f>
        <v>271.06666666666666</v>
      </c>
      <c r="AP18" s="327">
        <f>AE100</f>
        <v>272.50666666666666</v>
      </c>
      <c r="AQ18" s="596">
        <f>AF100</f>
        <v>272.50666666666666</v>
      </c>
      <c r="AR18" s="597">
        <f>AQ18</f>
        <v>272.50666666666666</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5.1838123369326175E-3</v>
      </c>
      <c r="D19" s="589">
        <f>D18/$D$6</f>
        <v>4.7562331310049685E-3</v>
      </c>
      <c r="E19" s="599">
        <f>E18/$E$6</f>
        <v>4.5428681836710665E-3</v>
      </c>
      <c r="F19" s="74"/>
      <c r="G19" s="600"/>
      <c r="H19" s="545"/>
      <c r="I19" s="546">
        <f>I18/$C$6</f>
        <v>4.3524261170909881E-4</v>
      </c>
      <c r="J19" s="601"/>
      <c r="K19" s="602"/>
      <c r="L19" s="546">
        <f>L18/$C$6</f>
        <v>4.2834278754852792E-4</v>
      </c>
      <c r="M19" s="601"/>
      <c r="N19" s="602"/>
      <c r="O19" s="546">
        <f>O18/$C$6</f>
        <v>4.3524261170909881E-4</v>
      </c>
      <c r="P19" s="601"/>
      <c r="Q19" s="602"/>
      <c r="R19" s="546">
        <f>R18/$C$6</f>
        <v>4.3294267032224185E-4</v>
      </c>
      <c r="S19" s="601"/>
      <c r="T19" s="602"/>
      <c r="U19" s="546">
        <f>U18/$C$6</f>
        <v>4.3524261170909881E-4</v>
      </c>
      <c r="V19" s="601"/>
      <c r="W19" s="602"/>
      <c r="X19" s="546">
        <f>X18/$C$6</f>
        <v>4.3294267032224185E-4</v>
      </c>
      <c r="Y19" s="601"/>
      <c r="Z19" s="602"/>
      <c r="AA19" s="546">
        <f>AA18/$C$6</f>
        <v>4.1224319784052919E-4</v>
      </c>
      <c r="AB19" s="601"/>
      <c r="AC19" s="602"/>
      <c r="AD19" s="546">
        <f>AD18/$C$6</f>
        <v>4.3524261170909881E-4</v>
      </c>
      <c r="AE19" s="601"/>
      <c r="AF19" s="602"/>
      <c r="AG19" s="546">
        <f>AG18/$C$6</f>
        <v>4.3294267032224185E-4</v>
      </c>
      <c r="AH19" s="601"/>
      <c r="AI19" s="602"/>
      <c r="AJ19" s="546">
        <f>AJ18/$C$6</f>
        <v>4.3524261170909881E-4</v>
      </c>
      <c r="AK19" s="601"/>
      <c r="AL19" s="602"/>
      <c r="AM19" s="546">
        <f>AM18/$C$6</f>
        <v>4.3294267032224185E-4</v>
      </c>
      <c r="AN19" s="601"/>
      <c r="AO19" s="602"/>
      <c r="AP19" s="546">
        <f>AP18/$C$6</f>
        <v>4.3524261170909881E-4</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56285.841887155781</v>
      </c>
      <c r="E20" s="606">
        <f>E6-C6</f>
        <v>88335.603111088159</v>
      </c>
      <c r="F20" s="74"/>
      <c r="G20" s="344" t="s">
        <v>1187</v>
      </c>
      <c r="H20" s="326" t="s">
        <v>842</v>
      </c>
      <c r="I20" s="373"/>
      <c r="J20" s="607">
        <f>J6-I6</f>
        <v>16446.002863531001</v>
      </c>
      <c r="K20" s="608">
        <f>K6-I6</f>
        <v>18348.869163070194</v>
      </c>
      <c r="L20" s="373"/>
      <c r="M20" s="607">
        <f>M6-L6</f>
        <v>-189.68825536016084</v>
      </c>
      <c r="N20" s="608">
        <f>N6-L6</f>
        <v>3346.0959280712268</v>
      </c>
      <c r="O20" s="373"/>
      <c r="P20" s="607">
        <f>P6-O6</f>
        <v>-37635.720320085456</v>
      </c>
      <c r="Q20" s="608">
        <f>Q6-O6</f>
        <v>-35919.192253827779</v>
      </c>
      <c r="R20" s="373"/>
      <c r="S20" s="607">
        <f>S6-R6</f>
        <v>-13741.416333018056</v>
      </c>
      <c r="T20" s="609">
        <f>T6-R6</f>
        <v>-14851.623689232747</v>
      </c>
      <c r="U20" s="373"/>
      <c r="V20" s="610">
        <f>V6-U6</f>
        <v>12160.018626724956</v>
      </c>
      <c r="W20" s="608">
        <f>W6-U6</f>
        <v>9759.8890067249558</v>
      </c>
      <c r="X20" s="611"/>
      <c r="Y20" s="607">
        <f>Y6-X6</f>
        <v>11951.10128392737</v>
      </c>
      <c r="Z20" s="608">
        <f>Z6-X6</f>
        <v>9764.1728239273743</v>
      </c>
      <c r="AA20" s="373"/>
      <c r="AB20" s="607">
        <f>AB6-AA6</f>
        <v>4929.2221987491612</v>
      </c>
      <c r="AC20" s="612">
        <f>AC6-AA6</f>
        <v>9998.0413987491611</v>
      </c>
      <c r="AD20" s="373"/>
      <c r="AE20" s="607">
        <f>AE6-AD6</f>
        <v>11333.125626724952</v>
      </c>
      <c r="AF20" s="612">
        <f>AF6-AD6</f>
        <v>4556.7433067249549</v>
      </c>
      <c r="AG20" s="373"/>
      <c r="AH20" s="610">
        <f>AH6-AG6</f>
        <v>40582.118902577902</v>
      </c>
      <c r="AI20" s="608">
        <f>AI6-AG6</f>
        <v>2963.8837225779043</v>
      </c>
      <c r="AJ20" s="373"/>
      <c r="AK20" s="610">
        <f>AK6-AJ6</f>
        <v>76831.910700322143</v>
      </c>
      <c r="AL20" s="608">
        <f>AL6-AJ6</f>
        <v>45475.381029122145</v>
      </c>
      <c r="AM20" s="374"/>
      <c r="AN20" s="607">
        <f>AN6-AM6</f>
        <v>40849.498185984805</v>
      </c>
      <c r="AO20" s="608">
        <f>AO6-AM6</f>
        <v>41866.365817692145</v>
      </c>
      <c r="AP20" s="373"/>
      <c r="AQ20" s="607">
        <f>AQ6-AP6</f>
        <v>23236.628394169558</v>
      </c>
      <c r="AR20" s="608">
        <f>AR6-AP6</f>
        <v>36989.994052798138</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6.9231585521201602</v>
      </c>
      <c r="E21" s="613">
        <f>E20*0.123/1000</f>
        <v>10.865279182663844</v>
      </c>
      <c r="F21" s="74"/>
      <c r="G21" s="539" t="s">
        <v>874</v>
      </c>
      <c r="H21" s="540" t="s">
        <v>1180</v>
      </c>
      <c r="I21" s="614"/>
      <c r="J21" s="313">
        <f>J20*0.123/1000</f>
        <v>2.0228583522143131</v>
      </c>
      <c r="K21" s="615">
        <f>K20*0.123/1000</f>
        <v>2.2569109070576339</v>
      </c>
      <c r="L21" s="614"/>
      <c r="M21" s="313">
        <f>M20*0.123/1000</f>
        <v>-2.3331655409299781E-2</v>
      </c>
      <c r="N21" s="615">
        <f>N20*0.123/1000</f>
        <v>0.41156979915276087</v>
      </c>
      <c r="O21" s="614"/>
      <c r="P21" s="313">
        <f>P20*0.123/1000</f>
        <v>-4.6291935993705113</v>
      </c>
      <c r="Q21" s="615">
        <f>Q20*0.123/1000</f>
        <v>-4.4180606472208162</v>
      </c>
      <c r="R21" s="614"/>
      <c r="S21" s="313">
        <f>S20*0.123/1000</f>
        <v>-1.690194208961221</v>
      </c>
      <c r="T21" s="616">
        <f>T20*0.123/1000</f>
        <v>-1.8267497137756279</v>
      </c>
      <c r="U21" s="614"/>
      <c r="V21" s="313">
        <f>V20*0.123/1000</f>
        <v>1.4956822910871694</v>
      </c>
      <c r="W21" s="615">
        <f>W20*0.123/1000</f>
        <v>1.2004663478271695</v>
      </c>
      <c r="X21" s="617"/>
      <c r="Y21" s="313">
        <f>Y20*0.123/1000</f>
        <v>1.4699854579230665</v>
      </c>
      <c r="Z21" s="615">
        <f>Z20*0.123/1000</f>
        <v>1.2009932573430668</v>
      </c>
      <c r="AA21" s="614"/>
      <c r="AB21" s="313">
        <f>AB20*0.123/1000</f>
        <v>0.60629433044614678</v>
      </c>
      <c r="AC21" s="615">
        <f>AC20*0.123/1000</f>
        <v>1.2297590920461468</v>
      </c>
      <c r="AD21" s="614"/>
      <c r="AE21" s="313">
        <f>AE20*0.123/1000</f>
        <v>1.3939744520871691</v>
      </c>
      <c r="AF21" s="615">
        <f>AF20*0.123/1000</f>
        <v>0.56047942672716944</v>
      </c>
      <c r="AG21" s="614"/>
      <c r="AH21" s="313">
        <f>AH20*0.123/1000</f>
        <v>4.9916006250170826</v>
      </c>
      <c r="AI21" s="615">
        <f>AI20*0.123/1000</f>
        <v>0.3645576978770822</v>
      </c>
      <c r="AJ21" s="614"/>
      <c r="AK21" s="313">
        <f>AK20*0.123/1000</f>
        <v>9.4503250161396224</v>
      </c>
      <c r="AL21" s="615">
        <f>AL20*0.123/1000</f>
        <v>5.593471866582024</v>
      </c>
      <c r="AM21" s="618"/>
      <c r="AN21" s="313">
        <f>AN20*0.123/1000</f>
        <v>5.0244882768761308</v>
      </c>
      <c r="AO21" s="615">
        <f>AO20*0.123/1000</f>
        <v>5.149562995576134</v>
      </c>
      <c r="AP21" s="614"/>
      <c r="AQ21" s="313">
        <f>AQ20*0.123/1000</f>
        <v>2.8581052924828554</v>
      </c>
      <c r="AR21" s="619">
        <f>AR20*0.123/1000</f>
        <v>4.5497692684941713</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8.9898706423859007</v>
      </c>
      <c r="E22" s="621">
        <f>(E20/C6)*100</f>
        <v>14.108799272789071</v>
      </c>
      <c r="F22" s="74"/>
      <c r="G22" s="544" t="s">
        <v>874</v>
      </c>
      <c r="H22" s="545" t="s">
        <v>1181</v>
      </c>
      <c r="I22" s="622"/>
      <c r="J22" s="623">
        <f>(J20/I6)*100</f>
        <v>19.317459404224323</v>
      </c>
      <c r="K22" s="624">
        <f>(K20/I6)*100</f>
        <v>21.552564359394125</v>
      </c>
      <c r="L22" s="622"/>
      <c r="M22" s="623">
        <f>(M20/L6)*100</f>
        <v>-0.25182697117090119</v>
      </c>
      <c r="N22" s="624">
        <f>(N20/L6)*100</f>
        <v>4.4422212709666642</v>
      </c>
      <c r="O22" s="622"/>
      <c r="P22" s="623">
        <f>(P20/O6)*100</f>
        <v>-52.731484618052029</v>
      </c>
      <c r="Q22" s="624">
        <f>(Q20/O6)*100</f>
        <v>-50.326453638107829</v>
      </c>
      <c r="R22" s="622"/>
      <c r="S22" s="623">
        <f>(S20/R6)*100</f>
        <v>-39.197389612078368</v>
      </c>
      <c r="T22" s="625">
        <f>(T20/R6)*100</f>
        <v>-42.364256057073483</v>
      </c>
      <c r="U22" s="620"/>
      <c r="V22" s="621">
        <f>(V20/U6)*100</f>
        <v>101.92184907757198</v>
      </c>
      <c r="W22" s="626">
        <f>(W20/U6)*100</f>
        <v>81.804639029997006</v>
      </c>
      <c r="X22" s="627"/>
      <c r="Y22" s="628">
        <f>(Y20/X6)*100</f>
        <v>103.44393187149616</v>
      </c>
      <c r="Z22" s="629">
        <f>(Z20/X6)*100</f>
        <v>84.514757626414891</v>
      </c>
      <c r="AA22" s="622"/>
      <c r="AB22" s="623">
        <f>(AB20/AA6)*100</f>
        <v>60.439639849687602</v>
      </c>
      <c r="AC22" s="624">
        <f>(AC20/AA6)*100</f>
        <v>122.59094781647451</v>
      </c>
      <c r="AD22" s="622"/>
      <c r="AE22" s="623">
        <f>(AE20/AD6)*100</f>
        <v>94.991064994390058</v>
      </c>
      <c r="AF22" s="624">
        <f>(AF20/AD6)*100</f>
        <v>38.193338172405582</v>
      </c>
      <c r="AG22" s="622"/>
      <c r="AH22" s="623">
        <f>(AH20/AG6)*100</f>
        <v>288.62786370480433</v>
      </c>
      <c r="AI22" s="624">
        <f>(AI20/AG6)*100</f>
        <v>21.079713190204124</v>
      </c>
      <c r="AJ22" s="622"/>
      <c r="AK22" s="623">
        <f>(AK20/AJ6)*100</f>
        <v>264.3836303057717</v>
      </c>
      <c r="AL22" s="624">
        <f>(AL20/AJ6)*100</f>
        <v>156.48376067220627</v>
      </c>
      <c r="AM22" s="630"/>
      <c r="AN22" s="628">
        <f>(AN20/AM6)*100</f>
        <v>64.562084185862162</v>
      </c>
      <c r="AO22" s="629">
        <f>(AO20/AM6)*100</f>
        <v>66.169229843937643</v>
      </c>
      <c r="AP22" s="622"/>
      <c r="AQ22" s="623">
        <f>(AQ20/AP6)*100</f>
        <v>29.49437305430364</v>
      </c>
      <c r="AR22" s="624">
        <f>(AR20/AP6)*100</f>
        <v>46.951591485770358</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263.14584630473001</v>
      </c>
      <c r="D23" s="632">
        <f>D6/('Ввод исходных данных'!$G$45+'Ввод исходных данных'!$D$23)</f>
        <v>286.80231748833688</v>
      </c>
      <c r="E23" s="556">
        <f>E6/('Ввод исходных данных'!$G$45+'Ввод исходных данных'!$D$23)</f>
        <v>300.27256555454642</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32.36693909548179</v>
      </c>
      <c r="D24" s="637">
        <f>0.123*D23</f>
        <v>35.276685051065435</v>
      </c>
      <c r="E24" s="638">
        <f>0.123*E23</f>
        <v>36.933525563209209</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3">
      <c r="A27" s="74"/>
      <c r="B27" s="317">
        <f>C12</f>
        <v>345872.83482100128</v>
      </c>
      <c r="C27" s="317">
        <f>C15</f>
        <v>276984.47729184292</v>
      </c>
      <c r="D27" s="317">
        <f>C18</f>
        <v>3245.6</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3">
      <c r="A28" s="74"/>
      <c r="B28" s="317">
        <f>D12</f>
        <v>447529.73102783097</v>
      </c>
      <c r="C28" s="317">
        <f>D15</f>
        <v>231613.42297216901</v>
      </c>
      <c r="D28" s="317">
        <f>D18</f>
        <v>3245.599999999999</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3">
      <c r="A29" s="74"/>
      <c r="B29" s="317">
        <f>E12</f>
        <v>479579.49225176341</v>
      </c>
      <c r="C29" s="317">
        <f>E15</f>
        <v>231613.42297216901</v>
      </c>
      <c r="D29" s="317">
        <f>E18</f>
        <v>3245.599999999999</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768" t="s">
        <v>834</v>
      </c>
      <c r="B33" s="1778" t="s">
        <v>1174</v>
      </c>
      <c r="C33" s="1776" t="s">
        <v>1175</v>
      </c>
      <c r="D33" s="1774" t="s">
        <v>1176</v>
      </c>
      <c r="E33" s="1772" t="s">
        <v>1177</v>
      </c>
      <c r="F33" s="74"/>
      <c r="G33" s="1770" t="s">
        <v>834</v>
      </c>
      <c r="H33" s="1764" t="s">
        <v>1174</v>
      </c>
      <c r="I33" s="1805" t="s">
        <v>488</v>
      </c>
      <c r="J33" s="1806"/>
      <c r="K33" s="1807"/>
      <c r="L33" s="1805" t="s">
        <v>489</v>
      </c>
      <c r="M33" s="1806"/>
      <c r="N33" s="1807"/>
      <c r="O33" s="1805" t="s">
        <v>490</v>
      </c>
      <c r="P33" s="1806"/>
      <c r="Q33" s="1807"/>
      <c r="R33" s="1805" t="s">
        <v>491</v>
      </c>
      <c r="S33" s="1806"/>
      <c r="T33" s="1807"/>
      <c r="U33" s="1805" t="s">
        <v>805</v>
      </c>
      <c r="V33" s="1806"/>
      <c r="W33" s="1807"/>
      <c r="X33" s="1805" t="s">
        <v>806</v>
      </c>
      <c r="Y33" s="1806"/>
      <c r="Z33" s="1807"/>
      <c r="AA33" s="1805" t="s">
        <v>807</v>
      </c>
      <c r="AB33" s="1806"/>
      <c r="AC33" s="1807"/>
      <c r="AD33" s="1805" t="s">
        <v>808</v>
      </c>
      <c r="AE33" s="1806"/>
      <c r="AF33" s="1807"/>
      <c r="AG33" s="1805" t="s">
        <v>809</v>
      </c>
      <c r="AH33" s="1806"/>
      <c r="AI33" s="1807"/>
      <c r="AJ33" s="1805" t="s">
        <v>482</v>
      </c>
      <c r="AK33" s="1806"/>
      <c r="AL33" s="1807"/>
      <c r="AM33" s="1805" t="s">
        <v>486</v>
      </c>
      <c r="AN33" s="1806"/>
      <c r="AO33" s="1807"/>
      <c r="AP33" s="1805" t="s">
        <v>487</v>
      </c>
      <c r="AQ33" s="1806"/>
      <c r="AR33" s="1807"/>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769"/>
      <c r="B34" s="1779"/>
      <c r="C34" s="1777"/>
      <c r="D34" s="1775"/>
      <c r="E34" s="1773"/>
      <c r="F34" s="74"/>
      <c r="G34" s="1771"/>
      <c r="H34" s="1765"/>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345872.83482100128</v>
      </c>
      <c r="D35" s="323">
        <f>D36*1163</f>
        <v>447529.73102783097</v>
      </c>
      <c r="E35" s="651">
        <f>D35*'Ввод исходных данных'!$H$264</f>
        <v>479579.49225176341</v>
      </c>
      <c r="F35" s="652"/>
      <c r="G35" s="527" t="s">
        <v>1192</v>
      </c>
      <c r="H35" s="528" t="s">
        <v>842</v>
      </c>
      <c r="I35" s="327">
        <f>I38+I62+I65+I68-I71</f>
        <v>69030.774654243622</v>
      </c>
      <c r="J35" s="529">
        <f>J36*1163</f>
        <v>82584.397400000002</v>
      </c>
      <c r="K35" s="653">
        <f>K36*1163</f>
        <v>84487.26369953918</v>
      </c>
      <c r="L35" s="328">
        <f>L38+L62+L65+L68-L71</f>
        <v>60756.64156173724</v>
      </c>
      <c r="M35" s="529">
        <f>M36*1163</f>
        <v>55484.613339999996</v>
      </c>
      <c r="N35" s="653">
        <f>N36*1163</f>
        <v>59020.397523431384</v>
      </c>
      <c r="O35" s="327">
        <f>O38+O62+O65+O68-O71</f>
        <v>55267.729837860083</v>
      </c>
      <c r="P35" s="529">
        <f>P36*1163</f>
        <v>13989.703740000001</v>
      </c>
      <c r="Q35" s="654">
        <f>Q36*1163</f>
        <v>15706.231806257672</v>
      </c>
      <c r="R35" s="328">
        <f>R38+R62+R65+R68-R71</f>
        <v>23503.751616945425</v>
      </c>
      <c r="S35" s="653">
        <f>S36*1163</f>
        <v>-2845.8610000000031</v>
      </c>
      <c r="T35" s="653">
        <f>T36*1163</f>
        <v>-3956.0683562146937</v>
      </c>
      <c r="U35" s="327">
        <f>U38+U62+U65+U68-U71</f>
        <v>0</v>
      </c>
      <c r="V35" s="529">
        <f>V36*1163</f>
        <v>2400.1296199999992</v>
      </c>
      <c r="W35" s="655">
        <f>W36*1163</f>
        <v>0</v>
      </c>
      <c r="X35" s="327">
        <f>X38+X62+X65+X68-X71</f>
        <v>0</v>
      </c>
      <c r="Y35" s="529">
        <f>Y36*1163</f>
        <v>2186.9284599999969</v>
      </c>
      <c r="Z35" s="656">
        <f>Z36*1163</f>
        <v>0</v>
      </c>
      <c r="AA35" s="327">
        <f>AA38+AA62+AA65+AA68-AA71</f>
        <v>0</v>
      </c>
      <c r="AB35" s="529">
        <f>AB36*1163</f>
        <v>-5068.8191999999999</v>
      </c>
      <c r="AC35" s="656">
        <f>AC36*1163</f>
        <v>0</v>
      </c>
      <c r="AD35" s="327">
        <f>AD38+AD62+AD65+AD68-AD71</f>
        <v>0</v>
      </c>
      <c r="AE35" s="529">
        <f>AE36*1163</f>
        <v>6776.382319999997</v>
      </c>
      <c r="AF35" s="656">
        <f>AF36*1163</f>
        <v>0</v>
      </c>
      <c r="AG35" s="327">
        <f>AG38+AG62+AG65+AG68-AG71</f>
        <v>0</v>
      </c>
      <c r="AH35" s="529">
        <f>AH36*1163</f>
        <v>37618.235180000003</v>
      </c>
      <c r="AI35" s="656">
        <f>AI36*1163</f>
        <v>0</v>
      </c>
      <c r="AJ35" s="327">
        <f>AJ38+AJ62+AJ65+AJ68-AJ71</f>
        <v>17130.038926402813</v>
      </c>
      <c r="AK35" s="529">
        <f>AK36*1163</f>
        <v>87425.26860000001</v>
      </c>
      <c r="AL35" s="654">
        <f>AL36*1163</f>
        <v>56068.738928799998</v>
      </c>
      <c r="AM35" s="327">
        <f>AM38+AM62+AM65+AM68-AM71</f>
        <v>47679.148927990638</v>
      </c>
      <c r="AN35" s="529">
        <f>AN36*1163</f>
        <v>83383.145799999998</v>
      </c>
      <c r="AO35" s="654">
        <f>AO36*1163</f>
        <v>84400.013431707339</v>
      </c>
      <c r="AP35" s="327">
        <f>AP38+AP62+AP65+AP68-AP71</f>
        <v>62678.600123605065</v>
      </c>
      <c r="AQ35" s="529">
        <f>AQ36*1163</f>
        <v>82994.447939999998</v>
      </c>
      <c r="AR35" s="656">
        <f>AR36*1163</f>
        <v>96747.813598628578</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297.45063794606108</v>
      </c>
      <c r="D36" s="559">
        <f>'Ввод исходных данных'!J198</f>
        <v>384.80630354929576</v>
      </c>
      <c r="E36" s="659">
        <f>0.86*E35/1000</f>
        <v>412.43836333651655</v>
      </c>
      <c r="F36" s="660"/>
      <c r="G36" s="379" t="s">
        <v>874</v>
      </c>
      <c r="H36" s="380" t="s">
        <v>1184</v>
      </c>
      <c r="I36" s="661">
        <f>0.86*I35/1000</f>
        <v>59.366466202649512</v>
      </c>
      <c r="J36" s="662">
        <f>'Ввод исходных данных'!$J$186</f>
        <v>71.009799999999998</v>
      </c>
      <c r="K36" s="651">
        <f>(J36)*'Ввод исходных данных'!$H$252</f>
        <v>72.645970506912448</v>
      </c>
      <c r="L36" s="661">
        <f>0.86*L35/1000</f>
        <v>52.25071174309403</v>
      </c>
      <c r="M36" s="98">
        <f>'Ввод исходных данных'!$J$187</f>
        <v>47.708179999999999</v>
      </c>
      <c r="N36" s="651">
        <f>(M36)*'Ввод исходных данных'!$H$253</f>
        <v>50.748407156862754</v>
      </c>
      <c r="O36" s="661">
        <f>0.86*O35/1000</f>
        <v>47.530247660559667</v>
      </c>
      <c r="P36" s="98">
        <f>'Ввод исходных данных'!$J$188</f>
        <v>12.028980000000001</v>
      </c>
      <c r="Q36" s="651">
        <f>(P36)*'Ввод исходных данных'!$H$254</f>
        <v>13.504928466257672</v>
      </c>
      <c r="R36" s="661">
        <f>0.86*R35/1000</f>
        <v>20.213226390573066</v>
      </c>
      <c r="S36" s="98">
        <f>'Ввод исходных данных'!$J$189</f>
        <v>-2.4470000000000027</v>
      </c>
      <c r="T36" s="651">
        <f>(S36)*'Ввод исходных данных'!$H$255</f>
        <v>-3.4016064971751452</v>
      </c>
      <c r="U36" s="384"/>
      <c r="V36" s="98">
        <f>'Ввод исходных данных'!$J$190</f>
        <v>2.0637399999999992</v>
      </c>
      <c r="W36" s="651">
        <f>(V36)*'Ввод исходных данных'!$H$256</f>
        <v>0</v>
      </c>
      <c r="X36" s="382"/>
      <c r="Y36" s="98">
        <f>'Ввод исходных данных'!$J$191</f>
        <v>1.8804199999999973</v>
      </c>
      <c r="Z36" s="651">
        <f>(Y36)*'Ввод исходных данных'!$H$257</f>
        <v>0</v>
      </c>
      <c r="AA36" s="384"/>
      <c r="AB36" s="98">
        <f>'Ввод исходных данных'!$J$192</f>
        <v>-4.3583999999999996</v>
      </c>
      <c r="AC36" s="651">
        <f>(AB36)*'Ввод исходных данных'!$H$258</f>
        <v>0</v>
      </c>
      <c r="AD36" s="382"/>
      <c r="AE36" s="98">
        <f>'Ввод исходных данных'!$J$193</f>
        <v>5.8266399999999976</v>
      </c>
      <c r="AF36" s="651">
        <f>(AE36)*'Ввод исходных данных'!$H$259</f>
        <v>0</v>
      </c>
      <c r="AG36" s="384"/>
      <c r="AH36" s="98">
        <f>'Ввод исходных данных'!$J$194</f>
        <v>32.345860000000002</v>
      </c>
      <c r="AI36" s="651">
        <f>(AH36)*'Ввод исходных данных'!$H$260</f>
        <v>0</v>
      </c>
      <c r="AJ36" s="661">
        <f>0.86*AJ35/1000</f>
        <v>14.731833476706418</v>
      </c>
      <c r="AK36" s="663">
        <f>'Ввод исходных данных'!$J$195</f>
        <v>75.172200000000004</v>
      </c>
      <c r="AL36" s="651">
        <f>(AK36)*'Ввод исходных данных'!$H$261</f>
        <v>48.210437599999999</v>
      </c>
      <c r="AM36" s="661">
        <f>0.86*AM35/1000</f>
        <v>41.004068078071946</v>
      </c>
      <c r="AN36" s="663">
        <f>'Ввод исходных данных'!$J$196</f>
        <v>71.696600000000004</v>
      </c>
      <c r="AO36" s="651">
        <f>(AN36)*'Ввод исходных данных'!$H$262</f>
        <v>72.570948780487825</v>
      </c>
      <c r="AP36" s="661">
        <f>0.86*AP35/1000</f>
        <v>53.903596106300355</v>
      </c>
      <c r="AQ36" s="663">
        <f>'Ввод исходных данных'!$J$197</f>
        <v>71.362380000000002</v>
      </c>
      <c r="AR36" s="651">
        <f>(AQ36)*'Ввод исходных данных'!$H$263</f>
        <v>83.188145828571436</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384.8755686839346</v>
      </c>
      <c r="E37" s="664">
        <f>E39+E63+E66+E69-E72</f>
        <v>412.43836333651643</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276639.24496027263</v>
      </c>
      <c r="D38" s="672">
        <f>$C38*(($D$35+$D$71)/($C$35+$C$71))</f>
        <v>339202.65896180959</v>
      </c>
      <c r="E38" s="672">
        <f>$C38*(($E$35+$E$71)/($C$35+$C$71))</f>
        <v>358927.26747261494</v>
      </c>
      <c r="F38" s="673"/>
      <c r="G38" s="527" t="s">
        <v>1196</v>
      </c>
      <c r="H38" s="674" t="s">
        <v>842</v>
      </c>
      <c r="I38" s="330">
        <f>I41+I44+I47+I50+I53+I56+I59</f>
        <v>53865.756106173503</v>
      </c>
      <c r="J38" s="672">
        <f>I38*((J$35+J$71)/(I$35+I$71))</f>
        <v>62343.350102138997</v>
      </c>
      <c r="K38" s="672">
        <f>IFERROR(I38*((K$35+K$71)/(I$35+I$71)),0)</f>
        <v>63533.565310183592</v>
      </c>
      <c r="L38" s="330">
        <f>L41+L44+L47+L50+L53+L56+L59</f>
        <v>47557.154039684712</v>
      </c>
      <c r="M38" s="672">
        <f>L38*((M$35+M$71)/(L$35+L$71))</f>
        <v>44266.422417898742</v>
      </c>
      <c r="N38" s="672">
        <f>IFERROR(L38*((N$35+N$71)/(L$35+L$71)),0)</f>
        <v>46473.413035334066</v>
      </c>
      <c r="O38" s="330">
        <f>O41+O44+O47+O50+O53+O56+O59</f>
        <v>44402.853006440317</v>
      </c>
      <c r="P38" s="672">
        <f>O38*((P$35+P$71)/(O$35+O$71))</f>
        <v>19071.428772701314</v>
      </c>
      <c r="Q38" s="672">
        <f>IFERROR(O38*((Q$35+Q$71)/(O$35+O$71)),0)</f>
        <v>20124.824604963433</v>
      </c>
      <c r="R38" s="330">
        <f>R41+R44+R47+R50+R53+R56+R59</f>
        <v>19258.455812153428</v>
      </c>
      <c r="S38" s="672">
        <f>R38*((S$35+S$71)/(R$35+R$71))</f>
        <v>3286.7145785526591</v>
      </c>
      <c r="T38" s="672">
        <f>IFERROR(R38*((T$35+T$71)/(R$35+R$71)),0)</f>
        <v>2613.7656108817769</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16941.649097909405</v>
      </c>
      <c r="AK38" s="672">
        <f>IFERROR(AJ38*((AK$35+AK$71)/(AJ$35+AJ$71)),0)</f>
        <v>55469.793413272266</v>
      </c>
      <c r="AL38" s="672">
        <f>IFERROR(AJ38*((AL$35+AL$71)/(AJ$35+AJ$71)),0)</f>
        <v>38283.578843512973</v>
      </c>
      <c r="AM38" s="330">
        <f>AM41+AM44+AM47+AM50+AM53+AM56+AM59</f>
        <v>38978.707557213609</v>
      </c>
      <c r="AN38" s="672">
        <f>IFERROR(AM38*((AN$35+AN$71)/(AM$35+AM$71)),0)</f>
        <v>60650.983819524088</v>
      </c>
      <c r="AO38" s="672">
        <f>IFERROR(AM38*((AO$35+AO$71)/(AM$35+AM$71)),0)</f>
        <v>61268.221052530898</v>
      </c>
      <c r="AP38" s="330">
        <f>AP41+AP44+AP47+AP50+AP53+AP56+AP59</f>
        <v>49498.262367835108</v>
      </c>
      <c r="AQ38" s="672">
        <f>IFERROR(AP38*((AQ$35+AQ$71)/(AP$35+AP$71)),0)</f>
        <v>62105.104310864415</v>
      </c>
      <c r="AR38" s="672">
        <f>IFERROR(AP38*((AR$35+AR$71)/(AP$35+AP$71)),0)</f>
        <v>70639.648800959199</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237.90975066583445</v>
      </c>
      <c r="D39" s="377">
        <f>0.86*D38/1000</f>
        <v>291.71428670715625</v>
      </c>
      <c r="E39" s="676">
        <f>0.86*E38/1000</f>
        <v>308.67745002644881</v>
      </c>
      <c r="F39" s="677"/>
      <c r="G39" s="379" t="s">
        <v>874</v>
      </c>
      <c r="H39" s="678" t="s">
        <v>1184</v>
      </c>
      <c r="I39" s="679">
        <f t="shared" ref="I39:W39" si="23">0.86*I38/1000</f>
        <v>46.324550251309212</v>
      </c>
      <c r="J39" s="680">
        <f t="shared" si="23"/>
        <v>53.615281087839541</v>
      </c>
      <c r="K39" s="681">
        <f t="shared" si="23"/>
        <v>54.638866166757886</v>
      </c>
      <c r="L39" s="682">
        <f t="shared" si="23"/>
        <v>40.899152474128854</v>
      </c>
      <c r="M39" s="683">
        <f t="shared" si="23"/>
        <v>38.069123279392919</v>
      </c>
      <c r="N39" s="681">
        <f t="shared" si="23"/>
        <v>39.967135210387298</v>
      </c>
      <c r="O39" s="684">
        <f t="shared" si="23"/>
        <v>38.186453585538672</v>
      </c>
      <c r="P39" s="681">
        <f t="shared" si="23"/>
        <v>16.40142874452313</v>
      </c>
      <c r="Q39" s="681">
        <f t="shared" si="23"/>
        <v>17.307349160268554</v>
      </c>
      <c r="R39" s="685">
        <f t="shared" si="23"/>
        <v>16.562271998451948</v>
      </c>
      <c r="S39" s="680">
        <f t="shared" si="23"/>
        <v>2.8265745375552869</v>
      </c>
      <c r="T39" s="686">
        <f t="shared" si="23"/>
        <v>2.2478384253583279</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14.569818224202088</v>
      </c>
      <c r="AK39" s="680">
        <f t="shared" ref="AK39:AN39" si="28">0.86*AK38/1000</f>
        <v>47.704022335414152</v>
      </c>
      <c r="AL39" s="686">
        <f t="shared" si="28"/>
        <v>32.923877805421156</v>
      </c>
      <c r="AM39" s="688">
        <f>0.86*AM38/1000</f>
        <v>33.521688499203698</v>
      </c>
      <c r="AN39" s="680">
        <f t="shared" si="28"/>
        <v>52.159846084790715</v>
      </c>
      <c r="AO39" s="686">
        <f t="shared" ref="AO39" si="29">0.86*AO38/1000</f>
        <v>52.690670105176572</v>
      </c>
      <c r="AP39" s="682">
        <f>0.86*AP38/1000</f>
        <v>42.568505636338195</v>
      </c>
      <c r="AQ39" s="680">
        <f t="shared" ref="AQ39:AR39" si="30">0.86*AQ38/1000</f>
        <v>53.410389707343398</v>
      </c>
      <c r="AR39" s="686">
        <f t="shared" si="30"/>
        <v>60.75009796882491</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121572.17525031129</v>
      </c>
      <c r="D41" s="706">
        <f>C41*($D$38/$C$38)</f>
        <v>149066.35935403418</v>
      </c>
      <c r="E41" s="707">
        <f>C41*($E$38/$C$38)</f>
        <v>157734.55667709938</v>
      </c>
      <c r="F41" s="74"/>
      <c r="G41" s="334" t="s">
        <v>1197</v>
      </c>
      <c r="H41" s="326" t="s">
        <v>842</v>
      </c>
      <c r="I41" s="335">
        <f>IF($C134=0,0,$B134/$C134*$D134)*0.024*G$147</f>
        <v>23671.90216366688</v>
      </c>
      <c r="J41" s="610">
        <f>I41*($J$38/$I$38)</f>
        <v>27397.474589685145</v>
      </c>
      <c r="K41" s="708">
        <f>I41*($K$38/$I$38)</f>
        <v>27920.527824155775</v>
      </c>
      <c r="L41" s="335">
        <f>IF($C134=0,0,$B134/$C134*$D134)*0.024*H$147</f>
        <v>20899.517225579773</v>
      </c>
      <c r="M41" s="709">
        <f>L41*($M$38/$L$38)</f>
        <v>19453.368825764133</v>
      </c>
      <c r="N41" s="710">
        <f>L41*($N$38/$L$38)</f>
        <v>20423.255257304863</v>
      </c>
      <c r="O41" s="335">
        <f>IF($C134=0,0,$B134/$C134*$D134)*0.024*I$147</f>
        <v>19513.324756536218</v>
      </c>
      <c r="P41" s="711">
        <f>O41*($P$38/$O$38)</f>
        <v>8381.1502643510867</v>
      </c>
      <c r="Q41" s="712">
        <f>O41*($Q$38/$O$38)</f>
        <v>8844.0767111974437</v>
      </c>
      <c r="R41" s="335">
        <f>IF($C134=0,0,$B134/$C134*$D134)*0.024*J$147</f>
        <v>8463.3413649669237</v>
      </c>
      <c r="S41" s="711">
        <f>R41*($S$38/$R$38)</f>
        <v>1444.3830657466494</v>
      </c>
      <c r="T41" s="712">
        <f>R41*($T$38/$R$38)</f>
        <v>1148.6482004929892</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7445.1950353468419</v>
      </c>
      <c r="AK41" s="711">
        <f>AJ41*($AK$38/$AJ$38)</f>
        <v>24376.814095575362</v>
      </c>
      <c r="AL41" s="712">
        <f>IFERROR(AJ41*($AL$38/$AJ$38),0)</f>
        <v>16824.142059240541</v>
      </c>
      <c r="AM41" s="335">
        <f>IF($C134=0,0,$B134/$C134*$D134)*0.024*Q$147</f>
        <v>17129.624059148664</v>
      </c>
      <c r="AN41" s="711">
        <f>AM41*($AN$38/$AM$38)</f>
        <v>26653.745512752037</v>
      </c>
      <c r="AO41" s="712">
        <f>AM41*($AO$38/$AM$38)</f>
        <v>26924.997240152094</v>
      </c>
      <c r="AP41" s="335">
        <f>IF($C134=0,0,$B134/$C134*$D134)*0.024*R$147</f>
        <v>21752.558744991191</v>
      </c>
      <c r="AQ41" s="711">
        <f>AP41*($AQ$38/$AP$38)</f>
        <v>27292.774842208462</v>
      </c>
      <c r="AR41" s="712">
        <f>AP41*($AR$38/$AP$38)</f>
        <v>31043.374792625415</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104.5520707152677</v>
      </c>
      <c r="D42" s="377">
        <f>0.86*D41/1000</f>
        <v>128.1970690444694</v>
      </c>
      <c r="E42" s="676">
        <f>0.86*E41/1000</f>
        <v>135.65171874230546</v>
      </c>
      <c r="F42" s="74"/>
      <c r="G42" s="379" t="s">
        <v>874</v>
      </c>
      <c r="H42" s="380" t="s">
        <v>1184</v>
      </c>
      <c r="I42" s="688">
        <f t="shared" ref="I42:W42" si="31">0.86*I41/1000</f>
        <v>20.357835860753514</v>
      </c>
      <c r="J42" s="680">
        <f t="shared" si="31"/>
        <v>23.561828147129226</v>
      </c>
      <c r="K42" s="713">
        <f t="shared" si="31"/>
        <v>24.011653928773963</v>
      </c>
      <c r="L42" s="688">
        <f t="shared" ref="L42" si="32">0.86*L41/1000</f>
        <v>17.973584813998606</v>
      </c>
      <c r="M42" s="683">
        <f t="shared" si="31"/>
        <v>16.729897190157153</v>
      </c>
      <c r="N42" s="683">
        <f t="shared" si="31"/>
        <v>17.563999521282181</v>
      </c>
      <c r="O42" s="682">
        <f t="shared" si="31"/>
        <v>16.781459290621147</v>
      </c>
      <c r="P42" s="714">
        <f t="shared" si="31"/>
        <v>7.2077892273419346</v>
      </c>
      <c r="Q42" s="714">
        <f t="shared" si="31"/>
        <v>7.6059059716298014</v>
      </c>
      <c r="R42" s="688">
        <f t="shared" si="31"/>
        <v>7.2784735738715547</v>
      </c>
      <c r="S42" s="680">
        <f t="shared" si="31"/>
        <v>1.2421694365421185</v>
      </c>
      <c r="T42" s="686">
        <f t="shared" si="31"/>
        <v>0.9878374524239707</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6.4028677303982837</v>
      </c>
      <c r="AK42" s="680">
        <f t="shared" ref="AK42" si="38">0.86*AK41/1000</f>
        <v>20.964060122194812</v>
      </c>
      <c r="AL42" s="686">
        <f t="shared" ref="AL42:AM42" si="39">0.86*AL41/1000</f>
        <v>14.468762170946865</v>
      </c>
      <c r="AM42" s="688">
        <f t="shared" si="39"/>
        <v>14.731476690867851</v>
      </c>
      <c r="AN42" s="680">
        <f t="shared" ref="AN42" si="40">0.86*AN41/1000</f>
        <v>22.922221140966752</v>
      </c>
      <c r="AO42" s="686">
        <f t="shared" ref="AO42:AP42" si="41">0.86*AO41/1000</f>
        <v>23.155497626530799</v>
      </c>
      <c r="AP42" s="688">
        <f t="shared" si="41"/>
        <v>18.707200520692421</v>
      </c>
      <c r="AQ42" s="680">
        <f t="shared" ref="AQ42" si="42">0.86*AQ41/1000</f>
        <v>23.471786364299277</v>
      </c>
      <c r="AR42" s="686">
        <f t="shared" ref="AR42" si="43">0.86*AR41/1000</f>
        <v>26.697302321657855</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49891.110591949488</v>
      </c>
      <c r="D44" s="706">
        <f>C44*($D$38/$C$38)</f>
        <v>61174.246530991149</v>
      </c>
      <c r="E44" s="707">
        <f>C44*($E$38/$C$38)</f>
        <v>64731.524258295598</v>
      </c>
      <c r="F44" s="74"/>
      <c r="G44" s="334" t="s">
        <v>1199</v>
      </c>
      <c r="H44" s="326" t="s">
        <v>842</v>
      </c>
      <c r="I44" s="335">
        <f>IF($C135=0,0,$B135/$C135*$D135)*0.024*G$147</f>
        <v>9714.5377742699275</v>
      </c>
      <c r="J44" s="610">
        <f>I44*($J$38/$I$38)</f>
        <v>11243.448033069617</v>
      </c>
      <c r="K44" s="708">
        <f>I44*($K$38/$I$38)</f>
        <v>11458.100001850478</v>
      </c>
      <c r="L44" s="335">
        <f>IF($C135=0,0,$B135/$C135*$D135)*0.024*H$147</f>
        <v>8576.799116022099</v>
      </c>
      <c r="M44" s="709">
        <f>L44*($M$38/$L$38)</f>
        <v>7983.3249135656606</v>
      </c>
      <c r="N44" s="710">
        <f>L44*($N$38/$L$38)</f>
        <v>8381.3494707309801</v>
      </c>
      <c r="O44" s="335">
        <f>IF($C135=0,0,$B135/$C135*$D135)*0.024*I$147</f>
        <v>8007.9297868981857</v>
      </c>
      <c r="P44" s="711">
        <f>O44*($P$38/$O$38)</f>
        <v>3439.4785966899608</v>
      </c>
      <c r="Q44" s="712">
        <f>O44*($Q$38/$O$38)</f>
        <v>3629.4555754517251</v>
      </c>
      <c r="R44" s="335">
        <f>IF($C135=0,0,$B135/$C135*$D135)*0.024*J$147</f>
        <v>3473.2083977900552</v>
      </c>
      <c r="S44" s="711">
        <f>R44*($S$38/$R$38)</f>
        <v>592.74973999546501</v>
      </c>
      <c r="T44" s="712">
        <f>R44*($T$38/$R$38)</f>
        <v>471.38528437157947</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3055.3788161010257</v>
      </c>
      <c r="AK44" s="711">
        <f>AJ44*($AK$38/$AJ$38)</f>
        <v>10003.821395954083</v>
      </c>
      <c r="AL44" s="712">
        <f>IFERROR(AJ44*($AL$38/$AJ$38),0)</f>
        <v>6904.3358841281351</v>
      </c>
      <c r="AM44" s="335">
        <f>IF($C135=0,0,$B135/$C135*$D135)*0.024*Q$147</f>
        <v>7029.7003946329914</v>
      </c>
      <c r="AN44" s="711">
        <f>AM44*($AN$38/$AM$38)</f>
        <v>10938.234528817349</v>
      </c>
      <c r="AO44" s="712">
        <f>AM44*($AO$38/$AM$38)</f>
        <v>11049.551529620448</v>
      </c>
      <c r="AP44" s="335">
        <f>IF($C135=0,0,$B135/$C135*$D135)*0.024*R$147</f>
        <v>8926.872549329124</v>
      </c>
      <c r="AQ44" s="711">
        <f>AP44*($AQ$38/$AP$38)</f>
        <v>11200.481073980885</v>
      </c>
      <c r="AR44" s="712">
        <f>AP44*($AR$38/$AP$38)</f>
        <v>12739.662194390536</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42.906355109076564</v>
      </c>
      <c r="D45" s="377">
        <f>0.86*D44/1000</f>
        <v>52.60985201665239</v>
      </c>
      <c r="E45" s="676">
        <f>0.86*E44/1000</f>
        <v>55.669110862134211</v>
      </c>
      <c r="F45" s="74"/>
      <c r="G45" s="379" t="s">
        <v>874</v>
      </c>
      <c r="H45" s="380" t="s">
        <v>1184</v>
      </c>
      <c r="I45" s="688">
        <f t="shared" ref="I45:O45" si="44">0.86*I44/1000</f>
        <v>8.3545024858721373</v>
      </c>
      <c r="J45" s="680">
        <f t="shared" si="44"/>
        <v>9.6693653084398701</v>
      </c>
      <c r="K45" s="713">
        <f t="shared" si="44"/>
        <v>9.8539660015914112</v>
      </c>
      <c r="L45" s="688">
        <f t="shared" ref="L45" si="45">0.86*L44/1000</f>
        <v>7.3760472397790053</v>
      </c>
      <c r="M45" s="683">
        <f t="shared" si="44"/>
        <v>6.8656594256664683</v>
      </c>
      <c r="N45" s="683">
        <f t="shared" si="44"/>
        <v>7.2079605448286426</v>
      </c>
      <c r="O45" s="688">
        <f t="shared" si="44"/>
        <v>6.8868196167324394</v>
      </c>
      <c r="P45" s="717">
        <f t="shared" ref="P45:P57" si="46">O45*($P$35/$O$35)</f>
        <v>1.7432336452312216</v>
      </c>
      <c r="Q45" s="718">
        <f t="shared" ref="Q45" si="47">O45*($Q$35/$O$35)</f>
        <v>1.9571273440325987</v>
      </c>
      <c r="R45" s="688">
        <f t="shared" ref="R45" si="48">0.86*R44/1000</f>
        <v>2.9869592220994474</v>
      </c>
      <c r="S45" s="680">
        <f>0.86*S44/1000</f>
        <v>0.50976477639609985</v>
      </c>
      <c r="T45" s="686">
        <f>0.86*T44/1000</f>
        <v>0.40539134455955833</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2.627625781846882</v>
      </c>
      <c r="AK45" s="680">
        <f t="shared" ref="AK45" si="55">0.86*AK44/1000</f>
        <v>8.6032864005205099</v>
      </c>
      <c r="AL45" s="686">
        <f t="shared" ref="AL45:AM45" si="56">0.86*AL44/1000</f>
        <v>5.9377288603501963</v>
      </c>
      <c r="AM45" s="688">
        <f t="shared" si="56"/>
        <v>6.0455423393843724</v>
      </c>
      <c r="AN45" s="680">
        <f t="shared" ref="AN45" si="57">0.86*AN44/1000</f>
        <v>9.4068816947829195</v>
      </c>
      <c r="AO45" s="686">
        <f t="shared" ref="AO45:AP45" si="58">0.86*AO44/1000</f>
        <v>9.5026143154735863</v>
      </c>
      <c r="AP45" s="688">
        <f t="shared" si="58"/>
        <v>7.6771103924230468</v>
      </c>
      <c r="AQ45" s="680">
        <f t="shared" ref="AQ45" si="59">0.86*AQ44/1000</f>
        <v>9.6324137236235625</v>
      </c>
      <c r="AR45" s="686">
        <f t="shared" ref="AR45" si="60">0.86*AR44/1000</f>
        <v>10.95610948717586</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3414.2303999999999</v>
      </c>
      <c r="D47" s="706">
        <f>C47*($D$35/$C$35)</f>
        <v>4417.7207885372381</v>
      </c>
      <c r="E47" s="707">
        <f>C47*($E$38/$C$38)</f>
        <v>4429.8139556082069</v>
      </c>
      <c r="F47" s="74"/>
      <c r="G47" s="334" t="s">
        <v>1201</v>
      </c>
      <c r="H47" s="326" t="s">
        <v>842</v>
      </c>
      <c r="I47" s="335">
        <f>IF($C136=0,0,$B136/$C136*$D136)*0.024*G$147</f>
        <v>664.80119999999988</v>
      </c>
      <c r="J47" s="610">
        <f>I47*($J$38/$I$38)</f>
        <v>769.43009726307434</v>
      </c>
      <c r="K47" s="708">
        <f>I47*($K$38/$I$38)</f>
        <v>784.11951324391885</v>
      </c>
      <c r="L47" s="335">
        <f>IF($C136=0,0,$B136/$C136*$D136)*0.024*H$147</f>
        <v>586.94159999999999</v>
      </c>
      <c r="M47" s="709">
        <f>L47*($M$38/$L$38)</f>
        <v>546.32799890751426</v>
      </c>
      <c r="N47" s="708">
        <f>L47*($N$38/$L$38)</f>
        <v>573.56626894994645</v>
      </c>
      <c r="O47" s="335">
        <f>IF($C136=0,0,$B136/$C136*$D136)*0.024*I$147</f>
        <v>548.01179999999999</v>
      </c>
      <c r="P47" s="711">
        <f>O47*($P$38/$O$38)</f>
        <v>235.37604686761773</v>
      </c>
      <c r="Q47" s="712">
        <f>O47*($Q$38/$O$38)</f>
        <v>248.3768634157511</v>
      </c>
      <c r="R47" s="335">
        <f>IF($C136=0,0,$B136/$C136*$D136)*0.024*J$147</f>
        <v>237.68430000000001</v>
      </c>
      <c r="S47" s="711">
        <f>R47*($S$38/$R$38)</f>
        <v>40.564023487806942</v>
      </c>
      <c r="T47" s="712">
        <f>R47*($T$38/$R$38)</f>
        <v>32.258611783113722</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209.09069999999997</v>
      </c>
      <c r="AK47" s="711">
        <f>AJ47*($AK$38/$AJ$38)</f>
        <v>684.59793179565395</v>
      </c>
      <c r="AL47" s="712">
        <f>IFERROR(AJ47*($AL$38/$AJ$38),)</f>
        <v>472.4888499717008</v>
      </c>
      <c r="AM47" s="335">
        <f>IF($C136=0,0,$B136/$C136*$D136)*0.024*Q$147</f>
        <v>481.06800000000004</v>
      </c>
      <c r="AN47" s="711">
        <f>AM47*($AN$38/$AM$38)</f>
        <v>748.5432255870453</v>
      </c>
      <c r="AO47" s="712">
        <f>AM47*($AO$38/$AM$38)</f>
        <v>756.16105336576982</v>
      </c>
      <c r="AP47" s="335">
        <f>IF($C136=0,0,$B136/$C136*$D136)*0.024*R$147</f>
        <v>610.89839999999992</v>
      </c>
      <c r="AQ47" s="711">
        <f>AP47*($AQ$38/$AP$38)</f>
        <v>766.4897117680282</v>
      </c>
      <c r="AR47" s="712">
        <f>AP47*($AR$38/$AP$38)</f>
        <v>871.82148149729665</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2.9362381439999998</v>
      </c>
      <c r="D48" s="377">
        <f>0.86*D47/1000</f>
        <v>3.7992398781420249</v>
      </c>
      <c r="E48" s="676">
        <f>0.86*E47/1000</f>
        <v>3.8096400018230581</v>
      </c>
      <c r="F48" s="74"/>
      <c r="G48" s="379" t="s">
        <v>874</v>
      </c>
      <c r="H48" s="380" t="s">
        <v>1184</v>
      </c>
      <c r="I48" s="723">
        <f t="shared" ref="I48:O48" si="61">0.86*I47/1000</f>
        <v>0.5717290319999998</v>
      </c>
      <c r="J48" s="680">
        <f t="shared" si="61"/>
        <v>0.66170988364624395</v>
      </c>
      <c r="K48" s="724">
        <f t="shared" si="61"/>
        <v>0.67434278138977011</v>
      </c>
      <c r="L48" s="723">
        <f t="shared" ref="L48" si="62">0.86*L47/1000</f>
        <v>0.50476977599999995</v>
      </c>
      <c r="M48" s="683">
        <f t="shared" si="61"/>
        <v>0.46984207906046227</v>
      </c>
      <c r="N48" s="681">
        <f t="shared" si="61"/>
        <v>0.49326699129695395</v>
      </c>
      <c r="O48" s="723">
        <f t="shared" si="61"/>
        <v>0.47129014799999996</v>
      </c>
      <c r="P48" s="717">
        <f t="shared" si="46"/>
        <v>0.1192958271570656</v>
      </c>
      <c r="Q48" s="718">
        <f t="shared" ref="Q48" si="63">O48*($Q$35/$O$35)</f>
        <v>0.13393335196161354</v>
      </c>
      <c r="R48" s="723">
        <f t="shared" ref="R48" si="64">0.86*R47/1000</f>
        <v>0.20440849800000002</v>
      </c>
      <c r="S48" s="725">
        <f>0.86*S47/1000</f>
        <v>3.488506019951397E-2</v>
      </c>
      <c r="T48" s="726">
        <f>0.86*T47/1000</f>
        <v>2.7742406133477799E-2</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0.17981800199999998</v>
      </c>
      <c r="AK48" s="680">
        <f t="shared" ref="AK48" si="71">0.86*AK47/1000</f>
        <v>0.58875422134426247</v>
      </c>
      <c r="AL48" s="686">
        <f t="shared" ref="AL48:AM48" si="72">0.86*AL47/1000</f>
        <v>0.4063404109756627</v>
      </c>
      <c r="AM48" s="723">
        <f t="shared" si="72"/>
        <v>0.41371848000000006</v>
      </c>
      <c r="AN48" s="680">
        <f t="shared" ref="AN48" si="73">0.86*AN47/1000</f>
        <v>0.64374717400485892</v>
      </c>
      <c r="AO48" s="686">
        <f t="shared" ref="AO48:AP48" si="74">0.86*AO47/1000</f>
        <v>0.65029850589456206</v>
      </c>
      <c r="AP48" s="723">
        <f t="shared" si="74"/>
        <v>0.52537262399999995</v>
      </c>
      <c r="AQ48" s="680">
        <f t="shared" ref="AQ48" si="75">0.86*AQ47/1000</f>
        <v>0.65918115212050432</v>
      </c>
      <c r="AR48" s="686">
        <f t="shared" ref="AR48" si="76">0.86*AR47/1000</f>
        <v>0.74976647408767505</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53952.213622153846</v>
      </c>
      <c r="D53" s="706">
        <f>C53*($D$38/$C$38)</f>
        <v>66153.789279385383</v>
      </c>
      <c r="E53" s="707">
        <f>C53*($E$38/$C$38)</f>
        <v>70000.627034242425</v>
      </c>
      <c r="F53" s="74"/>
      <c r="G53" s="334" t="s">
        <v>1203</v>
      </c>
      <c r="H53" s="326" t="s">
        <v>842</v>
      </c>
      <c r="I53" s="335">
        <f>(IF(C138=0,0,B138/C138*D138)+IF(C139=0,0,B139/C139*D139)+IF(C140=0,0,B140/C140*D140))*0.024*G$147</f>
        <v>10505.294651076922</v>
      </c>
      <c r="J53" s="610">
        <f>I53*($J$38/$I$38)</f>
        <v>12158.657182260458</v>
      </c>
      <c r="K53" s="708">
        <f>I53*($K$38/$I$38)</f>
        <v>12390.78167772017</v>
      </c>
      <c r="L53" s="335">
        <f>(IF(C138=0,0,B138/C138*D138)+IF(C139=0,0,B139/C139*D139)+IF(C140=0,0,B140/C140*D140))*0.024*H$147</f>
        <v>9274.9448270769226</v>
      </c>
      <c r="M53" s="709">
        <f>L53*($M$38/$L$38)</f>
        <v>8633.1622215132411</v>
      </c>
      <c r="N53" s="708">
        <f>L53*($N$38/$L$38)</f>
        <v>9063.5857113946549</v>
      </c>
      <c r="O53" s="335">
        <f>(IF(C138=0,0,B138/C138*D138)+IF(C139=0,0,B139/C139*D139)+IF(C140=0,0,B140/C140*D140))*0.024*I$147</f>
        <v>8659.769915076924</v>
      </c>
      <c r="P53" s="711">
        <f>O53*($P$38/$O$38)</f>
        <v>3719.4498538059438</v>
      </c>
      <c r="Q53" s="712">
        <f>O53*($Q$38/$O$38)</f>
        <v>3924.8908315640133</v>
      </c>
      <c r="R53" s="335">
        <f>(IF(C138=0,0,B138/C138*D138)+IF(C139=0,0,B139/C139*D139)+IF(C140=0,0,B140/C140*D140))*0.024*J$147</f>
        <v>3755.9252381538458</v>
      </c>
      <c r="S53" s="711">
        <f>R53*($S$38/$R$38)</f>
        <v>640.9991723429755</v>
      </c>
      <c r="T53" s="712">
        <f>R53*($T$38/$R$38)</f>
        <v>509.75573121154349</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3304.0846079999997</v>
      </c>
      <c r="AK53" s="711">
        <f>AJ53*($AK$38/$AJ$38)</f>
        <v>10818.125766065417</v>
      </c>
      <c r="AL53" s="712">
        <f>IFERROR(AJ53*($AL$38/$AJ$38),0)</f>
        <v>7466.3442068112927</v>
      </c>
      <c r="AM53" s="335">
        <f>(IF(C138=0,0,B138/C138*D138)+IF(C139=0,0,B139/C139*D139)+IF(C140=0,0,B140/C140*D140))*0.024*Q$147</f>
        <v>7601.9133046153847</v>
      </c>
      <c r="AN53" s="711">
        <f>AM53*($AN$38/$AM$38)</f>
        <v>11828.599502918247</v>
      </c>
      <c r="AO53" s="712">
        <f>AM53*($AO$38/$AM$38)</f>
        <v>11948.977633127186</v>
      </c>
      <c r="AP53" s="335">
        <f>(IF(C138=0,0,B138/C138*D138)+IF(C139=0,0,B139/C139*D139)+IF(C140=0,0,B140/C140*D140))*0.024*R$147</f>
        <v>9653.5140036923058</v>
      </c>
      <c r="AQ53" s="711">
        <f>AP53*($AQ$38/$AP$38)</f>
        <v>12112.192741442343</v>
      </c>
      <c r="AR53" s="712">
        <f>AP53*($AR$38/$AP$38)</f>
        <v>13776.662175500749</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46.398903715052306</v>
      </c>
      <c r="D54" s="377">
        <f>0.86*D53/1000</f>
        <v>56.892258780271426</v>
      </c>
      <c r="E54" s="676">
        <f>0.86*E53/1000</f>
        <v>60.200539249448482</v>
      </c>
      <c r="F54" s="74"/>
      <c r="G54" s="379" t="s">
        <v>874</v>
      </c>
      <c r="H54" s="380" t="s">
        <v>1184</v>
      </c>
      <c r="I54" s="728">
        <f t="shared" ref="I54:O54" si="83">0.86*I53/1000</f>
        <v>9.0345533999261516</v>
      </c>
      <c r="J54" s="680">
        <f t="shared" si="83"/>
        <v>10.456445176743994</v>
      </c>
      <c r="K54" s="713">
        <f t="shared" si="83"/>
        <v>10.656072242839345</v>
      </c>
      <c r="L54" s="728">
        <f t="shared" ref="L54" si="84">0.86*L53/1000</f>
        <v>7.9764525512861537</v>
      </c>
      <c r="M54" s="683">
        <f t="shared" si="83"/>
        <v>7.424519510501387</v>
      </c>
      <c r="N54" s="681">
        <f t="shared" si="83"/>
        <v>7.7946837117994026</v>
      </c>
      <c r="O54" s="728">
        <f t="shared" si="83"/>
        <v>7.4474021269661543</v>
      </c>
      <c r="P54" s="717">
        <f t="shared" si="46"/>
        <v>1.8851316979104709</v>
      </c>
      <c r="Q54" s="718">
        <f t="shared" ref="Q54" si="85">O54*($Q$35/$O$35)</f>
        <v>2.116436200721572</v>
      </c>
      <c r="R54" s="728">
        <f t="shared" ref="R54" si="86">0.86*R53/1000</f>
        <v>3.2300957048123071</v>
      </c>
      <c r="S54" s="725">
        <f>0.86*S53/1000</f>
        <v>0.55125928821495895</v>
      </c>
      <c r="T54" s="726">
        <f>0.86*T53/1000</f>
        <v>0.43838992884192735</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2.8415127628799994</v>
      </c>
      <c r="AK54" s="680">
        <f t="shared" ref="AK54" si="93">0.86*AK53/1000</f>
        <v>9.3035881588162592</v>
      </c>
      <c r="AL54" s="686">
        <f t="shared" ref="AL54:AM54" si="94">0.86*AL53/1000</f>
        <v>6.4210560178577119</v>
      </c>
      <c r="AM54" s="728">
        <f t="shared" si="94"/>
        <v>6.5376454419692305</v>
      </c>
      <c r="AN54" s="680">
        <f t="shared" ref="AN54" si="95">0.86*AN53/1000</f>
        <v>10.172595572509692</v>
      </c>
      <c r="AO54" s="686">
        <f t="shared" ref="AO54:AP54" si="96">0.86*AO53/1000</f>
        <v>10.276120764489381</v>
      </c>
      <c r="AP54" s="728">
        <f t="shared" si="96"/>
        <v>8.3020220431753824</v>
      </c>
      <c r="AQ54" s="680">
        <f t="shared" ref="AQ54" si="97">0.86*AQ53/1000</f>
        <v>10.416485757640414</v>
      </c>
      <c r="AR54" s="686">
        <f t="shared" ref="AR54" si="98">0.86*AR53/1000</f>
        <v>11.847929470930643</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46113.003095857981</v>
      </c>
      <c r="D56" s="706">
        <f>C56*($D$38/$C$38)</f>
        <v>56541.700238790909</v>
      </c>
      <c r="E56" s="707">
        <f>C56*($E$38/$C$38)</f>
        <v>59829.595755762748</v>
      </c>
      <c r="F56" s="74"/>
      <c r="G56" s="334" t="s">
        <v>1204</v>
      </c>
      <c r="H56" s="326" t="s">
        <v>842</v>
      </c>
      <c r="I56" s="335">
        <f>(IF(C142=0,0,B142/C142*D142)+IF(C141=0,0,B141/C141*D141))*0.024*G$147</f>
        <v>8978.88431715976</v>
      </c>
      <c r="J56" s="610">
        <f>I56*($J$38/$I$38)</f>
        <v>10392.014685692699</v>
      </c>
      <c r="K56" s="708">
        <f>I56*($K$35/$I$35)</f>
        <v>10989.321369072872</v>
      </c>
      <c r="L56" s="335">
        <f>(IF(C142=0,0,B142/C142*D142)+IF(C141=0,0,B141/C141*D141))*0.024*H$147</f>
        <v>7927.303271005916</v>
      </c>
      <c r="M56" s="709">
        <f>L56*($M$38/$L$38)</f>
        <v>7378.7711294984965</v>
      </c>
      <c r="N56" s="708">
        <f>L56*($N$38/$L$38)</f>
        <v>7746.6544541834646</v>
      </c>
      <c r="O56" s="335">
        <f>(IF(C142=0,0,B142/C142*D142)+IF(C141=0,0,B141/C141*D141))*0.024*I$147</f>
        <v>7401.5127479289931</v>
      </c>
      <c r="P56" s="711">
        <f>O56*($P$38/$O$38)</f>
        <v>3179.0169690649086</v>
      </c>
      <c r="Q56" s="712">
        <f>O56*($Q$38/$O$38)</f>
        <v>3354.6075483453096</v>
      </c>
      <c r="R56" s="335">
        <f>(IF(C142=0,0,B142/C142*D142)+IF(C141=0,0,B141/C141*D141))*0.024*J$147</f>
        <v>3210.1925112426029</v>
      </c>
      <c r="S56" s="711">
        <f>R56*($S$38/$R$38)</f>
        <v>547.86254046408146</v>
      </c>
      <c r="T56" s="712">
        <f>R56*($T$38/$R$38)</f>
        <v>435.68865915516534</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2824.0039384615379</v>
      </c>
      <c r="AK56" s="711">
        <f>AJ56*($AK$38/$AJ$38)</f>
        <v>9246.26133851745</v>
      </c>
      <c r="AL56" s="712">
        <f>AJ56*($AL$38/$AJ$38)</f>
        <v>6381.4907750523862</v>
      </c>
      <c r="AM56" s="335">
        <f>(IF(C142=0,0,B142/C142*D142)+IF(C141=0,0,B141/C141*D141))*0.024*Q$147</f>
        <v>6497.3617988165679</v>
      </c>
      <c r="AN56" s="711">
        <f>AM56*($AN$38/$AM$38)</f>
        <v>10109.914105058329</v>
      </c>
      <c r="AO56" s="712">
        <f>AM56*($AO$38/$AM$38)</f>
        <v>10212.801395835202</v>
      </c>
      <c r="AP56" s="335">
        <f>(IF(C142=0,0,B142/C142*D142)+IF(C141=0,0,B141/C141*D141))*0.024*R$147</f>
        <v>8250.8666698224824</v>
      </c>
      <c r="AQ56" s="711">
        <f>AP56*($AQ$38/$AP$38)</f>
        <v>10352.301488412257</v>
      </c>
      <c r="AR56" s="712">
        <f>AP56*($AR$38/$AP$38)</f>
        <v>11774.924936325424</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39.657182662437869</v>
      </c>
      <c r="D57" s="377">
        <f>0.86*D56/1000</f>
        <v>48.625862205360178</v>
      </c>
      <c r="E57" s="676">
        <f>0.86*E56/1000</f>
        <v>51.453452349955967</v>
      </c>
      <c r="F57" s="74"/>
      <c r="G57" s="379" t="s">
        <v>874</v>
      </c>
      <c r="H57" s="380" t="s">
        <v>1184</v>
      </c>
      <c r="I57" s="728">
        <f t="shared" ref="I57:O57" si="99">0.86*I56/1000</f>
        <v>7.7218405127573932</v>
      </c>
      <c r="J57" s="680">
        <f t="shared" si="99"/>
        <v>8.9371326296957214</v>
      </c>
      <c r="K57" s="713">
        <f t="shared" si="99"/>
        <v>9.4508163774026688</v>
      </c>
      <c r="L57" s="728">
        <f t="shared" ref="L57" si="100">0.86*L56/1000</f>
        <v>6.8174808130650879</v>
      </c>
      <c r="M57" s="683">
        <f t="shared" si="99"/>
        <v>6.3457431713687065</v>
      </c>
      <c r="N57" s="681">
        <f t="shared" si="99"/>
        <v>6.6621228305977791</v>
      </c>
      <c r="O57" s="728">
        <f t="shared" si="99"/>
        <v>6.3653009632189343</v>
      </c>
      <c r="P57" s="717">
        <f t="shared" si="46"/>
        <v>1.6112236734277527</v>
      </c>
      <c r="Q57" s="718">
        <f t="shared" ref="Q57" si="101">O57*($Q$35/$O$35)</f>
        <v>1.808919829676557</v>
      </c>
      <c r="R57" s="728">
        <f t="shared" ref="R57" si="102">0.86*R56/1000</f>
        <v>2.7607655596686387</v>
      </c>
      <c r="S57" s="725">
        <f>0.86*S56/1000</f>
        <v>0.47116178479911003</v>
      </c>
      <c r="T57" s="726">
        <f>0.86*T56/1000</f>
        <v>0.37469224687344216</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2.4286433870769226</v>
      </c>
      <c r="AK57" s="680">
        <f t="shared" ref="AK57" si="109">0.86*AK56/1000</f>
        <v>7.9517847511250066</v>
      </c>
      <c r="AL57" s="686">
        <f t="shared" ref="AL57:AM57" si="110">0.86*AL56/1000</f>
        <v>5.4880820665450516</v>
      </c>
      <c r="AM57" s="728">
        <f t="shared" si="110"/>
        <v>5.5877311469822484</v>
      </c>
      <c r="AN57" s="680">
        <f t="shared" ref="AN57" si="111">0.86*AN56/1000</f>
        <v>8.6945261303501624</v>
      </c>
      <c r="AO57" s="686">
        <f t="shared" ref="AO57:AP57" si="112">0.86*AO56/1000</f>
        <v>8.7830092004182738</v>
      </c>
      <c r="AP57" s="728">
        <f t="shared" si="112"/>
        <v>7.0957453360473348</v>
      </c>
      <c r="AQ57" s="680">
        <f t="shared" ref="AQ57" si="113">0.86*AQ56/1000</f>
        <v>8.9029792800345398</v>
      </c>
      <c r="AR57" s="686">
        <f t="shared" ref="AR57" si="114">0.86*AR56/1000</f>
        <v>10.126435445239863</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1696.5119999999999</v>
      </c>
      <c r="D59" s="706">
        <f>C59*($D$38/$C$38)</f>
        <v>2080.1870733968271</v>
      </c>
      <c r="E59" s="707">
        <f>C59*($E$38/$C$38)</f>
        <v>2201.1497916065628</v>
      </c>
      <c r="F59" s="74"/>
      <c r="G59" s="334" t="s">
        <v>1205</v>
      </c>
      <c r="H59" s="326" t="s">
        <v>842</v>
      </c>
      <c r="I59" s="343">
        <f>IF($C143=0,0,$B143/$C143*$D143)*0.024*G$147</f>
        <v>330.33599999999996</v>
      </c>
      <c r="J59" s="610">
        <f>I59*($J$38/$I$38)</f>
        <v>382.32551416798725</v>
      </c>
      <c r="K59" s="708">
        <f>I59*($K$38/$I$38)</f>
        <v>389.62460285412118</v>
      </c>
      <c r="L59" s="335">
        <f>IF($C143=0,0,$B143/$C143*$D143)*0.024*H$147</f>
        <v>291.64800000000002</v>
      </c>
      <c r="M59" s="709">
        <f>L59*($M$38/$L$38)</f>
        <v>271.46732864969658</v>
      </c>
      <c r="N59" s="708">
        <f>L59*($N$35/$L$35)</f>
        <v>283.31356794010281</v>
      </c>
      <c r="O59" s="335">
        <f>IF($C143=0,0,$B143/$C143*$D143)*0.024*I$147</f>
        <v>272.30400000000003</v>
      </c>
      <c r="P59" s="711">
        <f>O59*($P$38/$O$38)</f>
        <v>116.95704192179765</v>
      </c>
      <c r="Q59" s="712">
        <f>O59*($Q$38/$O$38)</f>
        <v>123.41707498919311</v>
      </c>
      <c r="R59" s="335">
        <f>IF($C143=0,0,$B143/$C143*$D143)*0.024*J$147</f>
        <v>118.104</v>
      </c>
      <c r="S59" s="711">
        <f>R59*($S$38/$R$38)</f>
        <v>20.156036515680466</v>
      </c>
      <c r="T59" s="712">
        <f>R59*($T$38/$R$38)</f>
        <v>16.029123867385699</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103.89599999999999</v>
      </c>
      <c r="AK59" s="711">
        <f>AJ59*($AK$38/$AJ$38)</f>
        <v>340.1728853643001</v>
      </c>
      <c r="AL59" s="712">
        <f>AJ59*($AL$38/$AJ$38)</f>
        <v>234.77706830891967</v>
      </c>
      <c r="AM59" s="335">
        <f>IF($C143=0,0,$B143/$C143*$D143)*0.024*Q$147</f>
        <v>239.04000000000002</v>
      </c>
      <c r="AN59" s="711">
        <f>AM59*($AN$38/$AM$38)</f>
        <v>371.94694439107843</v>
      </c>
      <c r="AO59" s="712">
        <f>AM59*($AO$38/$AM$38)</f>
        <v>375.7322004301962</v>
      </c>
      <c r="AP59" s="335">
        <f>IF($C143=0,0,$B143/$C143*$D143)*0.024*R$147</f>
        <v>303.55199999999996</v>
      </c>
      <c r="AQ59" s="711">
        <f>AP59*($AQ$38/$AP$38)</f>
        <v>380.86445305243637</v>
      </c>
      <c r="AR59" s="712">
        <f>AP59*($AR$38/$AP$38)</f>
        <v>433.20322061977475</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1.7889608831212713</v>
      </c>
      <c r="E60" s="676">
        <f>0.86*E59/1000</f>
        <v>1.8929888207816439</v>
      </c>
      <c r="F60" s="74"/>
      <c r="G60" s="379" t="s">
        <v>874</v>
      </c>
      <c r="H60" s="380" t="s">
        <v>1184</v>
      </c>
      <c r="I60" s="728">
        <f t="shared" ref="I60:W60" si="115">0.86*I59/1000</f>
        <v>0.28408896</v>
      </c>
      <c r="J60" s="680">
        <f t="shared" si="115"/>
        <v>0.32879994218446906</v>
      </c>
      <c r="K60" s="713">
        <f t="shared" si="115"/>
        <v>0.33507715845454417</v>
      </c>
      <c r="L60" s="728">
        <f t="shared" ref="L60" si="116">0.86*L59/1000</f>
        <v>0.25081728000000003</v>
      </c>
      <c r="M60" s="683">
        <f t="shared" si="115"/>
        <v>0.23346190263873906</v>
      </c>
      <c r="N60" s="681">
        <f t="shared" si="115"/>
        <v>0.2436496684284884</v>
      </c>
      <c r="O60" s="728">
        <f t="shared" si="115"/>
        <v>0.23418144000000002</v>
      </c>
      <c r="P60" s="683">
        <f t="shared" si="115"/>
        <v>0.10058305605274598</v>
      </c>
      <c r="Q60" s="681">
        <f t="shared" si="115"/>
        <v>0.10613868449070607</v>
      </c>
      <c r="R60" s="728">
        <f t="shared" si="115"/>
        <v>0.10156944</v>
      </c>
      <c r="S60" s="725">
        <f t="shared" si="115"/>
        <v>1.7334191403485199E-2</v>
      </c>
      <c r="T60" s="726">
        <f t="shared" si="115"/>
        <v>1.3785046525951701E-2</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8.9350559999999982E-2</v>
      </c>
      <c r="AK60" s="680">
        <f t="shared" ref="AK60" si="122">0.86*AK59/1000</f>
        <v>0.2925486814132981</v>
      </c>
      <c r="AL60" s="686">
        <f t="shared" ref="AL60:AM60" si="123">0.86*AL59/1000</f>
        <v>0.20190827874567091</v>
      </c>
      <c r="AM60" s="728">
        <f t="shared" si="123"/>
        <v>0.20557440000000002</v>
      </c>
      <c r="AN60" s="680">
        <f t="shared" ref="AN60" si="124">0.86*AN59/1000</f>
        <v>0.31987437217632742</v>
      </c>
      <c r="AO60" s="686">
        <f t="shared" ref="AO60:AP60" si="125">0.86*AO59/1000</f>
        <v>0.32312969236996875</v>
      </c>
      <c r="AP60" s="728">
        <f t="shared" si="125"/>
        <v>0.26105471999999996</v>
      </c>
      <c r="AQ60" s="680">
        <f t="shared" ref="AQ60" si="126">0.86*AQ59/1000</f>
        <v>0.32754342962509525</v>
      </c>
      <c r="AR60" s="686">
        <f t="shared" ref="AR60" si="127">0.86*AR59/1000</f>
        <v>0.37255476973300633</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92489.124068844132</v>
      </c>
      <c r="D62" s="672">
        <f>C62*(($D$35+$D$71)/($C$35+$C$71))</f>
        <v>113406.02384056519</v>
      </c>
      <c r="E62" s="672">
        <f>$C62*(($E$35+$E$71)/($C$35+$C$71))</f>
        <v>120000.57539823459</v>
      </c>
      <c r="F62" s="74"/>
      <c r="G62" s="344" t="s">
        <v>1198</v>
      </c>
      <c r="H62" s="326" t="s">
        <v>842</v>
      </c>
      <c r="I62" s="328">
        <f>($D$151*$D$152*'Ввод исходных данных'!$D$22*0.28)*G$147*0.024+G192*$D$154+G161</f>
        <v>18009.00157995092</v>
      </c>
      <c r="J62" s="672">
        <f>I62*((J$35+J$71)/(I$35+I$71))</f>
        <v>20843.325549461249</v>
      </c>
      <c r="K62" s="672">
        <f>IFERROR(I62*((K$35+K$71)/(I$35+I$71)),0)</f>
        <v>21241.251599545976</v>
      </c>
      <c r="L62" s="328">
        <f>($D$151*$D$152*'Ввод исходных данных'!$D$22*0.28)*H$147*0.024+H192*$D$154+H161</f>
        <v>15899.83923274946</v>
      </c>
      <c r="M62" s="672">
        <f>L62*((M$35+M$71)/(L$35+L$71))</f>
        <v>14799.645060052311</v>
      </c>
      <c r="N62" s="672">
        <f>IFERROR(L62*((N$35+N$71)/(L$35+L$71)),0)</f>
        <v>15537.510828389208</v>
      </c>
      <c r="O62" s="328">
        <f>($D$151*$D$152*'Ввод исходных данных'!$D$22*0.28)*I$147*0.024+I192*$D$154+I161</f>
        <v>14845.258059148733</v>
      </c>
      <c r="P62" s="672">
        <f>O62*((P$35+P$71)/(O$35+O$71))</f>
        <v>6376.1732077522283</v>
      </c>
      <c r="Q62" s="672">
        <f>IFERROR(O62*((Q$35+Q$71)/(O$35+O$71)),0)</f>
        <v>6728.3562750451056</v>
      </c>
      <c r="R62" s="328">
        <f>($D$151*$D$152*'Ввод исходных данных'!$D$22*0.28)*J$147*0.024+J192*$D$154+J161</f>
        <v>6438.7021777781529</v>
      </c>
      <c r="S62" s="672">
        <f>R62*((S$35+S$71)/(R$35+R$71))</f>
        <v>1098.8511499092986</v>
      </c>
      <c r="T62" s="672">
        <f>IFERROR(R62*((T$35+T$71)/(R$35+R$71)),0)</f>
        <v>873.86333022431143</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5664.1214646619828</v>
      </c>
      <c r="AK62" s="672">
        <f>IFERROR(AJ62*((AK$35+AK$71)/(AJ$35+AJ$71)),0)</f>
        <v>18545.281259027612</v>
      </c>
      <c r="AL62" s="672">
        <f>IFERROR(AJ62*((AL$35+AL$71)/(AJ$35+AJ$71)),0)</f>
        <v>12799.393932576468</v>
      </c>
      <c r="AM62" s="328">
        <f>($D$151*$D$152*'Ввод исходных данных'!$D$22*0.28)*Q$147*0.024+Q192*$D$154+Q161</f>
        <v>13031.797132832839</v>
      </c>
      <c r="AN62" s="672">
        <f>IFERROR(AM62*((AN$35+AN$71)/(AM$35+AM$71)),0)</f>
        <v>20277.514740133829</v>
      </c>
      <c r="AO62" s="672">
        <f>IFERROR(AM62*((AO$35+AO$71)/(AM$35+AM$71)),0)</f>
        <v>20483.87639005691</v>
      </c>
      <c r="AP62" s="328">
        <f>($D$151*$D$152*'Ввод исходных данных'!$D$22*0.28)*R$147*0.024+R192*$D$154+R161</f>
        <v>16548.812262657601</v>
      </c>
      <c r="AQ62" s="672">
        <f>IFERROR(AP62*((AQ$35+AQ$71)/(AP$35+AP$71)),0)</f>
        <v>20763.672553910172</v>
      </c>
      <c r="AR62" s="672">
        <f>IFERROR(AP62*((AR$35+AR$71)/(AP$35+AP$71)),0)</f>
        <v>23617.036849091077</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79.540646699205951</v>
      </c>
      <c r="D63" s="377">
        <f>0.86*D62/1000</f>
        <v>97.529180502886064</v>
      </c>
      <c r="E63" s="732">
        <f>0.86*E62/1000</f>
        <v>103.20049484248175</v>
      </c>
      <c r="F63" s="74"/>
      <c r="G63" s="379" t="s">
        <v>874</v>
      </c>
      <c r="H63" s="380" t="s">
        <v>1184</v>
      </c>
      <c r="I63" s="728">
        <f t="shared" ref="I63:O63" si="128">0.86*I62/1000</f>
        <v>15.487741358757789</v>
      </c>
      <c r="J63" s="680">
        <f t="shared" si="128"/>
        <v>17.925259972536676</v>
      </c>
      <c r="K63" s="713">
        <f t="shared" si="128"/>
        <v>18.267476375609537</v>
      </c>
      <c r="L63" s="733">
        <f t="shared" si="128"/>
        <v>13.673861740164535</v>
      </c>
      <c r="M63" s="683">
        <f t="shared" si="128"/>
        <v>12.727694751644988</v>
      </c>
      <c r="N63" s="681">
        <f t="shared" si="128"/>
        <v>13.362259312414718</v>
      </c>
      <c r="O63" s="370">
        <f t="shared" si="128"/>
        <v>12.766921930867909</v>
      </c>
      <c r="P63" s="717">
        <f t="shared" ref="P63:P66" si="129">O63*($P$35/$O$35)</f>
        <v>3.2316408871601712</v>
      </c>
      <c r="Q63" s="718">
        <f t="shared" ref="Q63" si="130">O63*($Q$35/$O$35)</f>
        <v>3.6281612414129536</v>
      </c>
      <c r="R63" s="685">
        <f>0.86*R62/1000</f>
        <v>5.5372838728892111</v>
      </c>
      <c r="S63" s="725">
        <f>0.86*S62/1000</f>
        <v>0.94501198892199667</v>
      </c>
      <c r="T63" s="726">
        <f>0.86*T62/1000</f>
        <v>0.75152246399290779</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4.8711444596093054</v>
      </c>
      <c r="AK63" s="680">
        <f t="shared" ref="AK63" si="136">0.86*AK62/1000</f>
        <v>15.948941882763746</v>
      </c>
      <c r="AL63" s="686">
        <f t="shared" ref="AL63" si="137">0.86*AL62/1000</f>
        <v>11.007478782015761</v>
      </c>
      <c r="AM63" s="685">
        <f>0.86*AM62/1000</f>
        <v>11.207345534236241</v>
      </c>
      <c r="AN63" s="680">
        <f t="shared" ref="AN63" si="138">0.86*AN62/1000</f>
        <v>17.438662676515094</v>
      </c>
      <c r="AO63" s="686">
        <f t="shared" ref="AO63" si="139">0.86*AO62/1000</f>
        <v>17.616133695448941</v>
      </c>
      <c r="AP63" s="685">
        <f>0.86*AP62/1000</f>
        <v>14.231978545885537</v>
      </c>
      <c r="AQ63" s="680">
        <f t="shared" ref="AQ63" si="140">0.86*AQ62/1000</f>
        <v>17.856758396362746</v>
      </c>
      <c r="AR63" s="686">
        <f t="shared" ref="AR63" si="141">0.86*AR62/1000</f>
        <v>20.310651690218325</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28558.307462284534</v>
      </c>
      <c r="D65" s="672">
        <f>C65*(($D$35+$D$71)/($C$35+$C$71))</f>
        <v>35016.918254121658</v>
      </c>
      <c r="E65" s="672">
        <f>$C65*(($E$35+$E$71)/($C$35+$C$71))</f>
        <v>37053.149355409063</v>
      </c>
      <c r="F65" s="74"/>
      <c r="G65" s="735" t="s">
        <v>1206</v>
      </c>
      <c r="H65" s="736" t="s">
        <v>842</v>
      </c>
      <c r="I65" s="347">
        <f>(I62+I38-I71*$D$156)*($D$158-1)</f>
        <v>5699.7887329192026</v>
      </c>
      <c r="J65" s="672">
        <f>I65*((J$35+J$71)/(I$35+I$71))</f>
        <v>6596.842784202252</v>
      </c>
      <c r="K65" s="672">
        <f>IFERROR(I65*((K$35+K$71)/(I$35+I$71)),0)</f>
        <v>6722.7850473942872</v>
      </c>
      <c r="L65" s="349">
        <f>(L62+L38-L71*$D$156)*($D$158-1)</f>
        <v>5016.6034317030799</v>
      </c>
      <c r="M65" s="672">
        <f>L65*((M$35+M$71)/(L$35+L$71))</f>
        <v>4669.4780437353775</v>
      </c>
      <c r="N65" s="672">
        <f>IFERROR(L65*((N$35+N$71)/(L$35+L$71)),0)</f>
        <v>4902.2841678344712</v>
      </c>
      <c r="O65" s="737">
        <f>(O62+O38-O71*$D$156)*($D$158-1)</f>
        <v>4563.390537071019</v>
      </c>
      <c r="P65" s="672">
        <f>O65*((P$35+P$71)/(O$35+O$71))</f>
        <v>1960.01769474466</v>
      </c>
      <c r="Q65" s="672">
        <f>IFERROR(O65*((Q$35+Q$71)/(O$35+O$71)),0)</f>
        <v>2068.2777782135704</v>
      </c>
      <c r="R65" s="737">
        <f>(R62+R38-R71*$D$156)*($D$158-1)</f>
        <v>1940.6767390138439</v>
      </c>
      <c r="S65" s="672">
        <f>R65*((S$35+S$71)/(R$35+R$71))</f>
        <v>331.20259446500313</v>
      </c>
      <c r="T65" s="672">
        <f>IFERROR(R65*((T$35+T$71)/(R$35+R$71)),0)</f>
        <v>263.38945197628408</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1414.4068838314261</v>
      </c>
      <c r="AK65" s="672">
        <f>IFERROR(AJ65*((AK$35+AK$71)/(AJ$35+AJ$71)),0)</f>
        <v>4631.0047619933848</v>
      </c>
      <c r="AL65" s="672">
        <f>IFERROR(AJ65*((AL$35+AL$71)/(AJ$35+AJ$71)),0)</f>
        <v>3196.1798489056073</v>
      </c>
      <c r="AM65" s="347">
        <f>(AM62+AM38-AM71*$D$156)*($D$158-1)</f>
        <v>3936.8104619441842</v>
      </c>
      <c r="AN65" s="672">
        <f>IFERROR(AM65*((AN$35+AN$71)/(AM$35+AM$71)),0)</f>
        <v>6125.688679580694</v>
      </c>
      <c r="AO65" s="672">
        <f>IFERROR(AM65*((AO$35+AO$71)/(AM$35+AM$71)),0)</f>
        <v>6188.0290225188473</v>
      </c>
      <c r="AP65" s="740">
        <f>(AP62+AP38-AP71*$D$156)*($D$158-1)</f>
        <v>5175.2972579123498</v>
      </c>
      <c r="AQ65" s="672">
        <f>IFERROR(AP65*((AQ$35+AQ$71)/(AP$35+AP$71)),0)</f>
        <v>6493.4072564784983</v>
      </c>
      <c r="AR65" s="672">
        <f>IFERROR(AP65*((AR$35+AR$71)/(AP$35+AP$71)),0)</f>
        <v>7385.7376653499869</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24.560144417564697</v>
      </c>
      <c r="D66" s="377">
        <f>0.86*D65/1000</f>
        <v>30.114549698544625</v>
      </c>
      <c r="E66" s="732">
        <f>0.86*E65/1000</f>
        <v>31.865708445651794</v>
      </c>
      <c r="F66" s="74"/>
      <c r="G66" s="379" t="s">
        <v>874</v>
      </c>
      <c r="H66" s="380" t="s">
        <v>1184</v>
      </c>
      <c r="I66" s="723">
        <f t="shared" ref="I66:O66" si="142">0.86*I65/1000</f>
        <v>4.9018183103105137</v>
      </c>
      <c r="J66" s="680">
        <f t="shared" si="142"/>
        <v>5.6732847944139371</v>
      </c>
      <c r="K66" s="724">
        <f t="shared" si="142"/>
        <v>5.7815951407590864</v>
      </c>
      <c r="L66" s="741">
        <f t="shared" si="142"/>
        <v>4.3142789512646482</v>
      </c>
      <c r="M66" s="683">
        <f t="shared" si="142"/>
        <v>4.0157511176124245</v>
      </c>
      <c r="N66" s="681">
        <f t="shared" si="142"/>
        <v>4.2159643843376449</v>
      </c>
      <c r="O66" s="728">
        <f t="shared" si="142"/>
        <v>3.9245158618810767</v>
      </c>
      <c r="P66" s="717">
        <f t="shared" si="129"/>
        <v>0.9933973114458724</v>
      </c>
      <c r="Q66" s="718">
        <f t="shared" ref="Q66" si="143">O66*($Q$35/$O$35)</f>
        <v>1.1152865521140778</v>
      </c>
      <c r="R66" s="742">
        <f>0.86*R65/1000</f>
        <v>1.6689819955519059</v>
      </c>
      <c r="S66" s="725">
        <f>0.86*S65/1000</f>
        <v>0.2848342312399027</v>
      </c>
      <c r="T66" s="726">
        <f>0.86*T65/1000</f>
        <v>0.2265149286996043</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1.2163899200950263</v>
      </c>
      <c r="AK66" s="680">
        <f t="shared" ref="AK66" si="150">0.86*AK65/1000</f>
        <v>3.9826640953143109</v>
      </c>
      <c r="AL66" s="724">
        <f t="shared" ref="AL66" si="151">0.86*AL65/1000</f>
        <v>2.7487146700588223</v>
      </c>
      <c r="AM66" s="682">
        <f>0.86*AM65/1000</f>
        <v>3.3856569972719983</v>
      </c>
      <c r="AN66" s="680">
        <f t="shared" ref="AN66" si="152">0.86*AN65/1000</f>
        <v>5.2680922644393968</v>
      </c>
      <c r="AO66" s="686">
        <f t="shared" ref="AO66" si="153">0.86*AO65/1000</f>
        <v>5.3217049593662082</v>
      </c>
      <c r="AP66" s="688">
        <f>0.86*AP65/1000</f>
        <v>4.450755641804621</v>
      </c>
      <c r="AQ66" s="680">
        <f t="shared" ref="AQ66" si="154">0.86*AQ65/1000</f>
        <v>5.584330240571509</v>
      </c>
      <c r="AR66" s="686">
        <f t="shared" ref="AR66" si="155">0.86*AR65/1000</f>
        <v>6.3517343922009886</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7.7261746913809617</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51813.84167039999</v>
      </c>
      <c r="D68" s="672">
        <f>C68*(($D$35+$D$71)/($C$35+$C$71))</f>
        <v>63531.813312134502</v>
      </c>
      <c r="E68" s="672">
        <f>$C68*(($E$35+$E$71)/($C$35+$C$71))</f>
        <v>67226.183366304729</v>
      </c>
      <c r="F68" s="74"/>
      <c r="G68" s="735" t="s">
        <v>1200</v>
      </c>
      <c r="H68" s="736" t="s">
        <v>842</v>
      </c>
      <c r="I68" s="327">
        <f>I71*(1-$D$156)</f>
        <v>8543.771764799998</v>
      </c>
      <c r="J68" s="672">
        <f>I68*((J$35+J$71)/(I$35+I$71))</f>
        <v>9888.4224937975014</v>
      </c>
      <c r="K68" s="672">
        <f>IFERROR(I68*((K$35+K$71)/(I$35+I$71)),0)</f>
        <v>10077.205272015324</v>
      </c>
      <c r="L68" s="349">
        <f>L71*(1-$D$156)</f>
        <v>7716.9551424000001</v>
      </c>
      <c r="M68" s="672">
        <f>L68*((M$35+M$71)/(L$35+L$71))</f>
        <v>7182.9781031135708</v>
      </c>
      <c r="N68" s="672">
        <f>IFERROR(L68*((N$35+N$71)/(L$35+L$71)),0)</f>
        <v>7541.0997766736436</v>
      </c>
      <c r="O68" s="347">
        <f>O71*(1-$D$156)</f>
        <v>8543.771764799998</v>
      </c>
      <c r="P68" s="672">
        <f>O68*((P$35+P$71)/(O$35+O$71))</f>
        <v>3669.627594401788</v>
      </c>
      <c r="Q68" s="672">
        <f>IFERROR(O68*((Q$35+Q$71)/(O$35+O$71)),0)</f>
        <v>3872.3166776355542</v>
      </c>
      <c r="R68" s="349">
        <f>R71*(1-$D$156)</f>
        <v>4134.0831120000003</v>
      </c>
      <c r="S68" s="672">
        <f>R68*((S$35+S$71)/(R$35+R$71))</f>
        <v>705.53690107303692</v>
      </c>
      <c r="T68" s="672">
        <f>IFERROR(R68*((T$35+T$71)/(R$35+R$71)),0)</f>
        <v>561.07947470293436</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6890.1385199999995</v>
      </c>
      <c r="AK68" s="672">
        <f>IFERROR(AJ68*((AK$35+AK$71)/(AJ$35+AJ$71)),0)</f>
        <v>22559.466205706751</v>
      </c>
      <c r="AL68" s="672">
        <f>IFERROR(AJ68*((AL$35+AL$71)/(AJ$35+AJ$71)),0)</f>
        <v>15569.863343804947</v>
      </c>
      <c r="AM68" s="327">
        <f>AM71*(1-$D$156)</f>
        <v>8268.1662240000005</v>
      </c>
      <c r="AN68" s="672">
        <f>IFERROR(AM68*((AN$35+AN$71)/(AM$35+AM$71)),0)</f>
        <v>12865.291008761382</v>
      </c>
      <c r="AO68" s="672">
        <f>IFERROR(AM68*((AO$35+AO$71)/(AM$35+AM$71)),0)</f>
        <v>12996.219414600679</v>
      </c>
      <c r="AP68" s="746">
        <f>AP71*(1-$D$156)</f>
        <v>8543.771764799998</v>
      </c>
      <c r="AQ68" s="672">
        <f>IFERROR(AP68*((AQ$35+AQ$71)/(AP$35+AP$71)),0)</f>
        <v>10719.807348346909</v>
      </c>
      <c r="AR68" s="672">
        <f>IFERROR(AP68*((AR$35+AR$71)/(AP$35+AP$71)),0)</f>
        <v>12192.9338128283</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44.559903836543995</v>
      </c>
      <c r="D69" s="367">
        <f>0.86*D68/1000</f>
        <v>54.637359448435674</v>
      </c>
      <c r="E69" s="747">
        <f>0.86*E68/1000</f>
        <v>57.814517695022062</v>
      </c>
      <c r="F69" s="74"/>
      <c r="G69" s="379" t="s">
        <v>874</v>
      </c>
      <c r="H69" s="380" t="s">
        <v>1184</v>
      </c>
      <c r="I69" s="748">
        <f>0.86*I68/1000</f>
        <v>7.3476437177279985</v>
      </c>
      <c r="J69" s="749">
        <f t="shared" ref="J69:M69" si="156">0.86*J68/1000</f>
        <v>8.5040433446658525</v>
      </c>
      <c r="K69" s="750">
        <f t="shared" si="156"/>
        <v>8.6663965339331792</v>
      </c>
      <c r="L69" s="741">
        <f>0.86*L68/1000</f>
        <v>6.6365814224639994</v>
      </c>
      <c r="M69" s="749">
        <f t="shared" si="156"/>
        <v>6.1773611686776713</v>
      </c>
      <c r="N69" s="750">
        <f t="shared" ref="N69" si="157">0.86*N68/1000</f>
        <v>6.4853458079393329</v>
      </c>
      <c r="O69" s="682">
        <f>0.86*O68/1000</f>
        <v>7.3476437177279985</v>
      </c>
      <c r="P69" s="749">
        <f t="shared" ref="P69" si="158">0.86*P68/1000</f>
        <v>3.155879731185538</v>
      </c>
      <c r="Q69" s="750">
        <f t="shared" ref="Q69" si="159">0.86*Q68/1000</f>
        <v>3.3301923427665767</v>
      </c>
      <c r="R69" s="743">
        <f>0.86*R68/1000</f>
        <v>3.55531147632</v>
      </c>
      <c r="S69" s="749">
        <f t="shared" ref="S69" si="160">0.86*S68/1000</f>
        <v>0.60676173492281171</v>
      </c>
      <c r="T69" s="750">
        <f t="shared" ref="T69" si="161">0.86*T68/1000</f>
        <v>0.48252834824452356</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5.9255191271999994</v>
      </c>
      <c r="AK69" s="749">
        <f t="shared" ref="AK69" si="167">0.86*AK68/1000</f>
        <v>19.401140936907808</v>
      </c>
      <c r="AL69" s="724">
        <f t="shared" ref="AL69" si="168">0.86*AL68/1000</f>
        <v>13.390082475672255</v>
      </c>
      <c r="AM69" s="723">
        <f>0.86*AM68/1000</f>
        <v>7.11062295264</v>
      </c>
      <c r="AN69" s="680">
        <f t="shared" ref="AN69:AO69" si="169">0.86*AN68/1000</f>
        <v>11.064150267534787</v>
      </c>
      <c r="AO69" s="752">
        <f t="shared" si="169"/>
        <v>11.176748696556585</v>
      </c>
      <c r="AP69" s="753">
        <f>0.86*AP68/1000</f>
        <v>7.3476437177279985</v>
      </c>
      <c r="AQ69" s="680">
        <f t="shared" ref="AQ69:AR69" si="170">0.86*AQ68/1000</f>
        <v>9.2190343195783413</v>
      </c>
      <c r="AR69" s="752">
        <f t="shared" si="170"/>
        <v>10.485923079032338</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14.980604561562366</v>
      </c>
      <c r="D70" s="755">
        <f>(D68/$E$35)*100</f>
        <v>13.24739992818175</v>
      </c>
      <c r="E70" s="734">
        <f>(E68/$E$35)*100</f>
        <v>14.017735214376764</v>
      </c>
      <c r="F70" s="74"/>
      <c r="G70" s="362" t="s">
        <v>874</v>
      </c>
      <c r="H70" s="388" t="s">
        <v>1181</v>
      </c>
      <c r="I70" s="756">
        <f>(I68/I35)*100</f>
        <v>12.376757768681328</v>
      </c>
      <c r="J70" s="757">
        <f t="shared" ref="J70:K70" si="171">(J68/J35)*100</f>
        <v>11.973717560597592</v>
      </c>
      <c r="K70" s="758">
        <f t="shared" si="171"/>
        <v>11.927484487901918</v>
      </c>
      <c r="L70" s="756">
        <f>(L68/L35)*100</f>
        <v>12.701418222003754</v>
      </c>
      <c r="M70" s="757">
        <f t="shared" ref="M70" si="172">(M68/M35)*100</f>
        <v>12.945891970261266</v>
      </c>
      <c r="N70" s="758">
        <f t="shared" ref="N70" si="173">(N68/N35)*100</f>
        <v>12.777107734118175</v>
      </c>
      <c r="O70" s="756">
        <f>(O68/O35)*100</f>
        <v>15.458879512266947</v>
      </c>
      <c r="P70" s="757">
        <f t="shared" ref="P70" si="174">(P68/P35)*100</f>
        <v>26.230917127354321</v>
      </c>
      <c r="Q70" s="758">
        <f t="shared" ref="Q70" si="175">(Q68/Q35)*100</f>
        <v>24.654651258188785</v>
      </c>
      <c r="R70" s="756">
        <f>(R68/R35)*100</f>
        <v>17.589035058639165</v>
      </c>
      <c r="S70" s="757">
        <f t="shared" ref="S70" si="176">(S68/S35)*100</f>
        <v>-24.791685225421624</v>
      </c>
      <c r="T70" s="758">
        <f t="shared" ref="T70" si="177">(T68/T35)*100</f>
        <v>-14.182754800521066</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103627.68334079998</v>
      </c>
      <c r="D71" s="759">
        <f>C71</f>
        <v>103627.68334079998</v>
      </c>
      <c r="E71" s="760">
        <f>C71</f>
        <v>103627.68334079998</v>
      </c>
      <c r="F71" s="419"/>
      <c r="G71" s="344" t="s">
        <v>1202</v>
      </c>
      <c r="H71" s="346" t="s">
        <v>842</v>
      </c>
      <c r="I71" s="353">
        <f>$D$148*D150*'Ввод исходных данных'!I252*0.024*$D$157</f>
        <v>17087.543529599996</v>
      </c>
      <c r="J71" s="761">
        <f>IF('Ввод исходных данных'!D186&lt;&gt;0,I71,0)</f>
        <v>17087.543529599996</v>
      </c>
      <c r="K71" s="708">
        <f>J71</f>
        <v>17087.543529599996</v>
      </c>
      <c r="L71" s="353">
        <f>$D$148*D150*'Ввод исходных данных'!I253*0.024*$D$157</f>
        <v>15433.9102848</v>
      </c>
      <c r="M71" s="761">
        <f>IF('Ввод исходных данных'!D187&lt;&gt;0,L71,0)</f>
        <v>15433.9102848</v>
      </c>
      <c r="N71" s="708">
        <f>M71</f>
        <v>15433.9102848</v>
      </c>
      <c r="O71" s="353">
        <f>$D$148*D150*'Ввод исходных данных'!I254*0.024*$D$157</f>
        <v>17087.543529599996</v>
      </c>
      <c r="P71" s="761">
        <f>IF('Ввод исходных данных'!D188&lt;&gt;0,O71,0)</f>
        <v>17087.543529599996</v>
      </c>
      <c r="Q71" s="708">
        <f>P71</f>
        <v>17087.543529599996</v>
      </c>
      <c r="R71" s="353">
        <f>$D$148*D150*'Ввод исходных данных'!I255*0.024*$D$157</f>
        <v>8268.1662240000005</v>
      </c>
      <c r="S71" s="761">
        <f>IF('Ввод исходных данных'!D189&lt;&gt;0,R71,0)</f>
        <v>8268.1662240000005</v>
      </c>
      <c r="T71" s="708">
        <f>S71</f>
        <v>8268.1662240000005</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13780.277039999999</v>
      </c>
      <c r="AK71" s="761">
        <f>IF('Ввод исходных данных'!D194&lt;&gt;0,AJ71,0)</f>
        <v>13780.277039999999</v>
      </c>
      <c r="AL71" s="708">
        <f>AK71</f>
        <v>13780.277039999999</v>
      </c>
      <c r="AM71" s="353">
        <f>$D$148*D150*'Ввод исходных данных'!I262*0.024*$D$157</f>
        <v>16536.332448000001</v>
      </c>
      <c r="AN71" s="761">
        <f>IF('Ввод исходных данных'!D195&lt;&gt;0,AM71,0)</f>
        <v>16536.332448000001</v>
      </c>
      <c r="AO71" s="708">
        <f>AN71</f>
        <v>16536.332448000001</v>
      </c>
      <c r="AP71" s="353">
        <f>$D$148*D150*'Ввод исходных данных'!I263*0.024*$D$157</f>
        <v>17087.543529599996</v>
      </c>
      <c r="AQ71" s="762">
        <f>IF('Ввод исходных данных'!D196&lt;&gt;0,AP71,0)</f>
        <v>17087.543529599996</v>
      </c>
      <c r="AR71" s="708">
        <f>AQ71</f>
        <v>17087.543529599996</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89.11980767308799</v>
      </c>
      <c r="D72" s="361">
        <f>0.86*D71/1000</f>
        <v>89.11980767308799</v>
      </c>
      <c r="E72" s="361">
        <f>0.86*E71/1000</f>
        <v>89.11980767308799</v>
      </c>
      <c r="F72" s="74"/>
      <c r="G72" s="362" t="s">
        <v>874</v>
      </c>
      <c r="H72" s="363" t="s">
        <v>1184</v>
      </c>
      <c r="I72" s="365">
        <f>0.86*I71/1000</f>
        <v>14.695287435455997</v>
      </c>
      <c r="J72" s="364">
        <f t="shared" ref="J72:K72" si="178">0.86*J71/1000</f>
        <v>14.695287435455997</v>
      </c>
      <c r="K72" s="763">
        <f t="shared" si="178"/>
        <v>14.695287435455997</v>
      </c>
      <c r="L72" s="365">
        <f>0.86*L71/1000</f>
        <v>13.273162844927999</v>
      </c>
      <c r="M72" s="364">
        <f t="shared" ref="M72" si="179">0.86*M71/1000</f>
        <v>13.273162844927999</v>
      </c>
      <c r="N72" s="763">
        <f t="shared" ref="N72" si="180">0.86*N71/1000</f>
        <v>13.273162844927999</v>
      </c>
      <c r="O72" s="366">
        <f>0.86*O71/1000</f>
        <v>14.695287435455997</v>
      </c>
      <c r="P72" s="364">
        <f t="shared" ref="P72" si="181">0.86*P71/1000</f>
        <v>14.695287435455997</v>
      </c>
      <c r="Q72" s="763">
        <f t="shared" ref="Q72" si="182">0.86*Q71/1000</f>
        <v>14.695287435455997</v>
      </c>
      <c r="R72" s="367">
        <f>0.86*R71/1000</f>
        <v>7.11062295264</v>
      </c>
      <c r="S72" s="764">
        <f t="shared" ref="S72" si="183">0.86*S71/1000</f>
        <v>7.11062295264</v>
      </c>
      <c r="T72" s="765">
        <f t="shared" ref="T72" si="184">0.86*T71/1000</f>
        <v>7.11062295264</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11.851038254399999</v>
      </c>
      <c r="AK72" s="364">
        <f t="shared" ref="AK72:AL72" si="190">0.86*AK71/1000</f>
        <v>11.851038254399999</v>
      </c>
      <c r="AL72" s="763">
        <f t="shared" si="190"/>
        <v>11.851038254399999</v>
      </c>
      <c r="AM72" s="366">
        <f>0.86*AM71/1000</f>
        <v>14.22124590528</v>
      </c>
      <c r="AN72" s="364">
        <f t="shared" ref="AN72:AO72" si="191">0.86*AN71/1000</f>
        <v>14.22124590528</v>
      </c>
      <c r="AO72" s="763">
        <f t="shared" si="191"/>
        <v>14.22124590528</v>
      </c>
      <c r="AP72" s="371">
        <f>0.86*AP71/1000</f>
        <v>14.695287435455997</v>
      </c>
      <c r="AQ72" s="440">
        <f t="shared" ref="AQ72:AR72" si="192">0.86*AQ71/1000</f>
        <v>14.695287435455997</v>
      </c>
      <c r="AR72" s="768">
        <f t="shared" si="192"/>
        <v>14.695287435455997</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101656.8962068297</v>
      </c>
      <c r="E73" s="771">
        <f>E35-$C$35</f>
        <v>133706.65743076213</v>
      </c>
      <c r="F73" s="74"/>
      <c r="G73" s="344" t="s">
        <v>1207</v>
      </c>
      <c r="H73" s="326" t="s">
        <v>842</v>
      </c>
      <c r="I73" s="373"/>
      <c r="J73" s="610">
        <f>J35-I35</f>
        <v>13553.62274575638</v>
      </c>
      <c r="K73" s="608">
        <f>K35-I35</f>
        <v>15456.489045295559</v>
      </c>
      <c r="L73" s="373"/>
      <c r="M73" s="610">
        <f>M35-L35</f>
        <v>-5272.0282217372442</v>
      </c>
      <c r="N73" s="608">
        <f>N35-L35</f>
        <v>-1736.2440383058565</v>
      </c>
      <c r="O73" s="373"/>
      <c r="P73" s="772">
        <f>P35-O35</f>
        <v>-41278.026097860085</v>
      </c>
      <c r="Q73" s="612">
        <f>Q35-O35</f>
        <v>-39561.498031602408</v>
      </c>
      <c r="R73" s="373"/>
      <c r="S73" s="772">
        <f>S35-R35</f>
        <v>-26349.612616945429</v>
      </c>
      <c r="T73" s="612">
        <f>T35-R35</f>
        <v>-27459.81997316012</v>
      </c>
      <c r="U73" s="374"/>
      <c r="V73" s="773">
        <f>V35-U35</f>
        <v>2400.1296199999992</v>
      </c>
      <c r="W73" s="774">
        <f>W35-U35</f>
        <v>0</v>
      </c>
      <c r="X73" s="373"/>
      <c r="Y73" s="772">
        <f>Y35-X35</f>
        <v>2186.9284599999969</v>
      </c>
      <c r="Z73" s="612">
        <f>Z35-X35</f>
        <v>0</v>
      </c>
      <c r="AA73" s="373"/>
      <c r="AB73" s="772">
        <f>AB35-AA35</f>
        <v>-5068.8191999999999</v>
      </c>
      <c r="AC73" s="612">
        <f>AC35-AA35</f>
        <v>0</v>
      </c>
      <c r="AD73" s="396"/>
      <c r="AE73" s="775">
        <f>AE35-AD35</f>
        <v>6776.382319999997</v>
      </c>
      <c r="AF73" s="776">
        <f>AF35-AD35</f>
        <v>0</v>
      </c>
      <c r="AG73" s="395"/>
      <c r="AH73" s="775">
        <f>AH35-AG35</f>
        <v>37618.235180000003</v>
      </c>
      <c r="AI73" s="776">
        <f>AI35-AG35</f>
        <v>0</v>
      </c>
      <c r="AJ73" s="373"/>
      <c r="AK73" s="772">
        <f>AK35-AJ35</f>
        <v>70295.229673597205</v>
      </c>
      <c r="AL73" s="612">
        <f>AL35-AJ35</f>
        <v>38938.700002397185</v>
      </c>
      <c r="AM73" s="373"/>
      <c r="AN73" s="772">
        <f>AN35-AM35</f>
        <v>35703.99687200936</v>
      </c>
      <c r="AO73" s="612">
        <f>AO35-AM35</f>
        <v>36720.864503716701</v>
      </c>
      <c r="AP73" s="373"/>
      <c r="AQ73" s="610">
        <f>AQ35-AP35</f>
        <v>20315.847816394933</v>
      </c>
      <c r="AR73" s="612">
        <f>AR35-AP35</f>
        <v>34069.213475023513</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87.424930737873538</v>
      </c>
      <c r="E74" s="659">
        <f>0.86*E73/1000</f>
        <v>114.98772539045544</v>
      </c>
      <c r="F74" s="74"/>
      <c r="G74" s="379" t="s">
        <v>874</v>
      </c>
      <c r="H74" s="380" t="s">
        <v>1184</v>
      </c>
      <c r="I74" s="382"/>
      <c r="J74" s="381">
        <f>J36-I36</f>
        <v>11.643333797350486</v>
      </c>
      <c r="K74" s="777">
        <f>K36-I36</f>
        <v>13.279504304262936</v>
      </c>
      <c r="L74" s="382"/>
      <c r="M74" s="778">
        <f>M36-L36</f>
        <v>-4.5425317430940311</v>
      </c>
      <c r="N74" s="777">
        <f>N36-L36</f>
        <v>-1.5023045862312756</v>
      </c>
      <c r="O74" s="382"/>
      <c r="P74" s="779">
        <f>P36-O36</f>
        <v>-35.501267660559662</v>
      </c>
      <c r="Q74" s="780">
        <f>Q36-O36</f>
        <v>-34.025319194301993</v>
      </c>
      <c r="R74" s="382"/>
      <c r="S74" s="779">
        <f>S36-R36</f>
        <v>-22.660226390573069</v>
      </c>
      <c r="T74" s="780">
        <f>T36-R36</f>
        <v>-23.614832887748211</v>
      </c>
      <c r="U74" s="383"/>
      <c r="V74" s="781">
        <f>V36-U36</f>
        <v>2.0637399999999992</v>
      </c>
      <c r="W74" s="782">
        <f>W36-U36</f>
        <v>0</v>
      </c>
      <c r="X74" s="382"/>
      <c r="Y74" s="779">
        <f>Y36-X36</f>
        <v>1.8804199999999973</v>
      </c>
      <c r="Z74" s="780">
        <f>Z36-X36</f>
        <v>0</v>
      </c>
      <c r="AA74" s="382"/>
      <c r="AB74" s="779">
        <f>AB36-AA36</f>
        <v>-4.3583999999999996</v>
      </c>
      <c r="AC74" s="780">
        <f>AC36-AA36</f>
        <v>0</v>
      </c>
      <c r="AD74" s="382"/>
      <c r="AE74" s="779">
        <f>AE36-AD36</f>
        <v>5.8266399999999976</v>
      </c>
      <c r="AF74" s="780">
        <f>AF36-AD36</f>
        <v>0</v>
      </c>
      <c r="AG74" s="384"/>
      <c r="AH74" s="779">
        <f>AH36-AG36</f>
        <v>32.345860000000002</v>
      </c>
      <c r="AI74" s="780">
        <f>AI36-AG36</f>
        <v>0</v>
      </c>
      <c r="AJ74" s="382"/>
      <c r="AK74" s="779">
        <f>AK36-AJ36</f>
        <v>60.440366523293584</v>
      </c>
      <c r="AL74" s="780">
        <f>AL36-AJ36</f>
        <v>33.478604123293579</v>
      </c>
      <c r="AM74" s="382"/>
      <c r="AN74" s="779">
        <f>AN36-AM36</f>
        <v>30.692531921928058</v>
      </c>
      <c r="AO74" s="780">
        <f>AO36-AM36</f>
        <v>31.56688070241588</v>
      </c>
      <c r="AP74" s="382"/>
      <c r="AQ74" s="381">
        <f>AQ36-AP36</f>
        <v>17.458783893699646</v>
      </c>
      <c r="AR74" s="780">
        <f>AR36-AP36</f>
        <v>29.28454972227108</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29.391408047249492</v>
      </c>
      <c r="E75" s="783">
        <f>(E73/$C$35)*100</f>
        <v>38.657750470619931</v>
      </c>
      <c r="F75" s="74"/>
      <c r="G75" s="362" t="s">
        <v>874</v>
      </c>
      <c r="H75" s="388" t="s">
        <v>1181</v>
      </c>
      <c r="I75" s="390"/>
      <c r="J75" s="389">
        <f>(J73/I35)*100</f>
        <v>19.634174487600337</v>
      </c>
      <c r="K75" s="784">
        <f>(K73/I35)*100</f>
        <v>22.390722286853812</v>
      </c>
      <c r="L75" s="390"/>
      <c r="M75" s="785">
        <f>(M73/L35)*100</f>
        <v>-8.6772871018226496</v>
      </c>
      <c r="N75" s="784">
        <f>(N73/L35)*100</f>
        <v>-2.8577024563505375</v>
      </c>
      <c r="O75" s="391"/>
      <c r="P75" s="786">
        <f>IFERROR((P73/O35)*100,0)</f>
        <v>-74.687392116445096</v>
      </c>
      <c r="Q75" s="787">
        <f>IFERROR((Q73/O35)*100,0)</f>
        <v>-71.581550658340191</v>
      </c>
      <c r="R75" s="390"/>
      <c r="S75" s="786">
        <f>IFERROR((S73/R35)*100,0)</f>
        <v>-112.10811382957363</v>
      </c>
      <c r="T75" s="787">
        <f>IFERROR((T73/R35)*100,0)</f>
        <v>-116.83164637156267</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410.36234637651637</v>
      </c>
      <c r="AL75" s="787">
        <f>IFERROR((AL73/AJ35)*100,0)</f>
        <v>227.31238480947246</v>
      </c>
      <c r="AM75" s="390"/>
      <c r="AN75" s="786">
        <f>IFERROR((AN73/AM35)*100,0)</f>
        <v>74.883880427338937</v>
      </c>
      <c r="AO75" s="787">
        <f>IFERROR((AO73/AM35)*100,0)</f>
        <v>77.016610676452871</v>
      </c>
      <c r="AP75" s="390"/>
      <c r="AQ75" s="389">
        <f>(AQ73/AP35)*100</f>
        <v>32.41273381398301</v>
      </c>
      <c r="AR75" s="788">
        <f>(AR73/AP35)*100</f>
        <v>54.355415417443062</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145.36747565292364</v>
      </c>
      <c r="D76" s="672">
        <f>D35/('Ввод исходных данных'!$G$45+'Ввод исходных данных'!$D$23)</f>
        <v>188.09302359006048</v>
      </c>
      <c r="E76" s="792">
        <f>E35/('Ввод исходных данных'!$G$45+'Ввод исходных данных'!$D$23)</f>
        <v>201.56327165627008</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0.12501602906151432</v>
      </c>
      <c r="D77" s="398">
        <f t="shared" ref="D77:E77" si="193">D76*0.86/1000</f>
        <v>0.16176000028745202</v>
      </c>
      <c r="E77" s="801">
        <f t="shared" si="193"/>
        <v>0.17334441362439226</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3">
      <c r="A80" s="407">
        <f>C38</f>
        <v>276639.24496027263</v>
      </c>
      <c r="B80" s="408">
        <f>C62</f>
        <v>92489.124068844132</v>
      </c>
      <c r="C80" s="408">
        <f>C65</f>
        <v>28558.307462284534</v>
      </c>
      <c r="D80" s="409">
        <f>C68</f>
        <v>51813.84167039999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785" t="s">
        <v>1210</v>
      </c>
      <c r="B82" s="1785"/>
      <c r="C82" s="1785"/>
      <c r="D82" s="1785"/>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768" t="s">
        <v>834</v>
      </c>
      <c r="B83" s="1778" t="s">
        <v>1174</v>
      </c>
      <c r="C83" s="1776" t="s">
        <v>1175</v>
      </c>
      <c r="D83" s="1772" t="s">
        <v>1176</v>
      </c>
      <c r="E83" s="74"/>
      <c r="F83" s="74"/>
      <c r="G83" s="1781" t="s">
        <v>834</v>
      </c>
      <c r="H83" s="1786" t="s">
        <v>1174</v>
      </c>
      <c r="I83" s="1766" t="s">
        <v>488</v>
      </c>
      <c r="J83" s="1767"/>
      <c r="K83" s="1766" t="s">
        <v>489</v>
      </c>
      <c r="L83" s="1767"/>
      <c r="M83" s="1766" t="s">
        <v>490</v>
      </c>
      <c r="N83" s="1767"/>
      <c r="O83" s="1766" t="s">
        <v>491</v>
      </c>
      <c r="P83" s="1767"/>
      <c r="Q83" s="1766" t="s">
        <v>805</v>
      </c>
      <c r="R83" s="1767"/>
      <c r="S83" s="1766" t="s">
        <v>806</v>
      </c>
      <c r="T83" s="1767"/>
      <c r="U83" s="1766" t="s">
        <v>807</v>
      </c>
      <c r="V83" s="1767"/>
      <c r="W83" s="1766" t="s">
        <v>808</v>
      </c>
      <c r="X83" s="1767"/>
      <c r="Y83" s="1766" t="s">
        <v>809</v>
      </c>
      <c r="Z83" s="1767"/>
      <c r="AA83" s="1766" t="s">
        <v>482</v>
      </c>
      <c r="AB83" s="1767"/>
      <c r="AC83" s="1766" t="s">
        <v>486</v>
      </c>
      <c r="AD83" s="1767"/>
      <c r="AE83" s="1766" t="s">
        <v>487</v>
      </c>
      <c r="AF83" s="176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769"/>
      <c r="B84" s="1779"/>
      <c r="C84" s="1777"/>
      <c r="D84" s="1773"/>
      <c r="E84" s="74"/>
      <c r="F84" s="74"/>
      <c r="G84" s="1782"/>
      <c r="H84" s="1787"/>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276984.47729184292</v>
      </c>
      <c r="D85" s="807">
        <f>IF('Система ГВС'!F3=2,0,D86*1163)</f>
        <v>231613.42297216901</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15832.15248222537</v>
      </c>
      <c r="J85" s="811">
        <f>J86*1163*'Система ГВС'!$H$4</f>
        <v>18724.532599999999</v>
      </c>
      <c r="K85" s="810">
        <f>(0.024* (H167*($D$174-IF(H146&gt;=0.8*H165,$D$175,'Ввод исходных данных'!$D$109))*1*$D$177)/(3.6*24*$D$179))*(H170*$D$176+H146+(H170-H146))*(1-0.4*'Ввод исходных данных'!$D$21/'Ввод исходных данных'!$D$20)*'Ввод исходных данных'!$G$45*'Система ГВС'!$H$4</f>
        <v>14300.008693622915</v>
      </c>
      <c r="L85" s="811">
        <f>L86*1163*'Система ГВС'!$H$4</f>
        <v>19382.34866</v>
      </c>
      <c r="M85" s="810">
        <f>(0.024* (I167*($D$174-IF(I146&gt;=0.8*I165,$D$175,'Ввод исходных данных'!$D$109))*1*$D$177)/(3.6*24*$D$179))*(I170*$D$176+I146+(I170-I146))*(1-0.4*'Ввод исходных данных'!$D$21/'Ввод исходных данных'!$D$20)*'Ввод исходных данных'!$G$45*'Система ГВС'!$H$4</f>
        <v>15832.15248222537</v>
      </c>
      <c r="N85" s="812">
        <f>N86*1163*'Система ГВС'!$H$4</f>
        <v>19474.458259999999</v>
      </c>
      <c r="O85" s="810">
        <f>(0.024* (J167*($D$174-IF(J146&gt;=0.8*J165,$D$175,'Ввод исходных данных'!$D$109))*1*$D$177)/(3.6*24*$D$179))*(J170*$D$176+J146+(J170-J146))*(1-0.4*'Ввод исходных данных'!$D$21/'Ввод исходных данных'!$D$20)*'Ввод исходных данных'!$G$45*'Система ГВС'!$H$4</f>
        <v>11282.149716072629</v>
      </c>
      <c r="P85" s="811">
        <f>P86*1163*'Система ГВС'!$H$4</f>
        <v>23890.346000000001</v>
      </c>
      <c r="Q85" s="810">
        <f>(0.024* (K167*($D$174-IF(K146&gt;=0.8*K165,$D$175,'Ввод исходных данных'!$D$109))*1*$D$177)/(3.6*24*$D$179))*(K170*$D$176+K146+(K170-K146))*(1-0.4*'Ввод исходных данных'!$D$21/'Ввод исходных данных'!$D$20)*'Ввод исходных данных'!$G$45*'Система ГВС'!$H$4</f>
        <v>11658.221373275048</v>
      </c>
      <c r="R85" s="813">
        <f>R86*1163*'Система ГВС'!$H$4</f>
        <v>21418.110380000002</v>
      </c>
      <c r="S85" s="810">
        <f>(0.024* (L167*($D$174-IF(L146&gt;=0.8*L165,$D$175,'Ввод исходных данных'!$D$109))*1*$D$177)/(3.6*24*$D$179))*(L170*$D$176+L146+(L170-L146))*(1-0.4*'Ввод исходных данных'!$D$21/'Ввод исходных данных'!$D$20)*'Ввод исходных данных'!$G$45*'Система ГВС'!$H$4</f>
        <v>11282.149716072629</v>
      </c>
      <c r="T85" s="813">
        <f>T86*1163*'Система ГВС'!$H$4</f>
        <v>21046.322540000005</v>
      </c>
      <c r="U85" s="810">
        <f>(0.024* (M167*($D$174-IF(M146&gt;=0.8*M165,$D$175,'Ввод исходных данных'!$D$109))*1*$D$177)/(3.6*24*$D$179))*(M170*$D$176+M146+(M170-M146))*(1-0.4*'Ввод исходных данных'!$D$21/'Ввод исходных данных'!$D$20)*'Ввод исходных данных'!$G$45*'Система ГВС'!$H$4</f>
        <v>7897.5048012508396</v>
      </c>
      <c r="V85" s="812">
        <f>V86*1163*'Система ГВС'!$H$4</f>
        <v>17895.546200000001</v>
      </c>
      <c r="W85" s="810">
        <f>(0.024* (N167*($D$174-IF(N146&gt;=0.8*N165,$D$175,'Ввод исходных данных'!$D$109))*1*$D$177)/(3.6*24*$D$179))*(N170*$D$176+N146+(N170-N146))*(1-0.4*'Ввод исходных данных'!$D$21/'Ввод исходных данных'!$D$20)*'Ввод исходных данных'!$G$45*'Система ГВС'!$H$4</f>
        <v>11658.221373275048</v>
      </c>
      <c r="X85" s="811">
        <f>X86*1163*'Система ГВС'!$H$4</f>
        <v>16214.964680000001</v>
      </c>
      <c r="Y85" s="810">
        <f>(0.024* (O167*($D$174-IF(G146&gt;=0.8*O165,$D$175,'Ввод исходных данных'!$D$109))*1*$D$177)/(3.6*24*$D$179))*(O170*$D$176+O146+(O170-O146))*(1-0.4*'Ввод исходных данных'!$D$21/'Ввод исходных данных'!$D$20)*'Ввод исходных данных'!$G$45*'Система ГВС'!$H$4</f>
        <v>13789.294097422095</v>
      </c>
      <c r="Z85" s="811">
        <f>Z86*1163*'Система ГВС'!$H$4</f>
        <v>16753.177820000001</v>
      </c>
      <c r="AA85" s="810">
        <f>(0.024* (P167*($D$174-IF(P146&gt;=0.8*P165,$D$175,'Ввод исходных данных'!$D$109))*1*$D$177)/(3.6*24*$D$179))*(P170*$D$176+P146+(P170-P146))*(1-0.4*'Ввод исходных данных'!$D$21/'Ввод исходных данных'!$D$20)*'Ввод исходных данных'!$G$45*'Система ГВС'!$H$4</f>
        <v>11658.221373275048</v>
      </c>
      <c r="AB85" s="811">
        <f>AB86*1163*'Система ГВС'!$H$4</f>
        <v>18194.902399999999</v>
      </c>
      <c r="AC85" s="810">
        <f>(0.024* (Q167*($D$174-IF(Q146&gt;=0.8*Q165,$D$175,'Ввод исходных данных'!$D$109))*1*$D$177)/(3.6*24*$D$179))*(Q170*$D$176+Q146+(Q170-Q146))*(1-0.4*'Ввод исходных данных'!$D$21/'Ввод исходных данных'!$D$20)*'Ввод исходных данных'!$G$45*'Система ГВС'!$H$4</f>
        <v>15321.437886024549</v>
      </c>
      <c r="AD85" s="811">
        <f>AD86*1163*'Система ГВС'!$H$4</f>
        <v>20466.939200000001</v>
      </c>
      <c r="AE85" s="810">
        <f>(0.024* (R167*($D$174-IF(R146&gt;=0.8*R165,$D$175,'Ввод исходных данных'!$D$109))*1*$D$177)/(3.6*24*$D$179))*(R170*$D$176+R146+(R170-R146))*(1-0.4*'Ввод исходных данных'!$D$21/'Ввод исходных данных'!$D$20)*'Ввод исходных данных'!$G$45*'Система ГВС'!$H$4</f>
        <v>15832.15248222537</v>
      </c>
      <c r="AF85" s="811">
        <f>AF86*1163*'Система ГВС'!$H$4</f>
        <v>18752.933059999999</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238.2066504709849</v>
      </c>
      <c r="D86" s="816">
        <f>IF('Система ГВС'!F3=2,0,'Ввод исходных данных'!K198)</f>
        <v>199.15169645070421</v>
      </c>
      <c r="E86" s="74"/>
      <c r="F86" s="74"/>
      <c r="G86" s="544" t="s">
        <v>874</v>
      </c>
      <c r="H86" s="545" t="s">
        <v>1184</v>
      </c>
      <c r="I86" s="365">
        <f>0.86*I85/1000</f>
        <v>13.615651134713818</v>
      </c>
      <c r="J86" s="817">
        <f>'Ввод исходных данных'!K186*'Система ГВС'!$H$4</f>
        <v>16.100199999999997</v>
      </c>
      <c r="K86" s="365">
        <f>0.86*K85/1000</f>
        <v>12.298007476515705</v>
      </c>
      <c r="L86" s="817">
        <f>'Ввод исходных данных'!K187*'Система ГВС'!$H$4</f>
        <v>16.66582</v>
      </c>
      <c r="M86" s="818">
        <f>0.86*M85/1000</f>
        <v>13.615651134713818</v>
      </c>
      <c r="N86" s="819">
        <f>'Ввод исходных данных'!K188*'Система ГВС'!$H$4</f>
        <v>16.74502</v>
      </c>
      <c r="O86" s="365">
        <f>0.86*O85/1000</f>
        <v>9.7026487558224606</v>
      </c>
      <c r="P86" s="817">
        <f>'Ввод исходных данных'!K189*'Система ГВС'!$H$4</f>
        <v>20.542000000000002</v>
      </c>
      <c r="Q86" s="818">
        <f>0.86*Q85/1000</f>
        <v>10.026070381016542</v>
      </c>
      <c r="R86" s="820">
        <f>'Ввод исходных данных'!K190*'Система ГВС'!$H$4</f>
        <v>18.416260000000001</v>
      </c>
      <c r="S86" s="764">
        <f>0.86*S85/1000</f>
        <v>9.7026487558224606</v>
      </c>
      <c r="T86" s="821">
        <f>'Ввод исходных данных'!K191*'Система ГВС'!$H$4</f>
        <v>18.096580000000003</v>
      </c>
      <c r="U86" s="764">
        <f>0.86*U85/1000</f>
        <v>6.7918541290757224</v>
      </c>
      <c r="V86" s="822">
        <f>'Ввод исходных данных'!K192*'Система ГВС'!$H$4</f>
        <v>15.3874</v>
      </c>
      <c r="W86" s="366">
        <f>0.86*W85/1000</f>
        <v>10.026070381016542</v>
      </c>
      <c r="X86" s="602">
        <f>'Ввод исходных данных'!K193*'Система ГВС'!$H$4</f>
        <v>13.942360000000001</v>
      </c>
      <c r="Y86" s="366">
        <f>0.86*Y85/1000</f>
        <v>11.858792923783001</v>
      </c>
      <c r="Z86" s="602">
        <f>'Ввод исходных данных'!K194*'Система ГВС'!$H$4</f>
        <v>14.405139999999999</v>
      </c>
      <c r="AA86" s="366">
        <f>0.86*AA85/1000</f>
        <v>10.026070381016542</v>
      </c>
      <c r="AB86" s="602">
        <f>'Ввод исходных данных'!K195*'Система ГВС'!$H$4</f>
        <v>15.6448</v>
      </c>
      <c r="AC86" s="366">
        <f>0.86*AC85/1000</f>
        <v>13.176436581981111</v>
      </c>
      <c r="AD86" s="823">
        <f>'Ввод исходных данных'!K196*'Система ГВС'!$H$4</f>
        <v>17.598400000000002</v>
      </c>
      <c r="AE86" s="365">
        <f>0.86*AE85/1000</f>
        <v>13.615651134713818</v>
      </c>
      <c r="AF86" s="823">
        <f>'Ввод исходных данных'!K197*'Система ГВС'!$H$4</f>
        <v>16.12462</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-45371.054319673916</v>
      </c>
      <c r="E87" s="74"/>
      <c r="F87" s="74"/>
      <c r="G87" s="828" t="s">
        <v>1215</v>
      </c>
      <c r="H87" s="809" t="s">
        <v>842</v>
      </c>
      <c r="I87" s="829"/>
      <c r="J87" s="830">
        <f>J85-I85</f>
        <v>2892.3801177746282</v>
      </c>
      <c r="K87" s="829"/>
      <c r="L87" s="830">
        <f>L85-K85</f>
        <v>5082.3399663770851</v>
      </c>
      <c r="M87" s="829"/>
      <c r="N87" s="830">
        <f>N85-M85</f>
        <v>3642.305777774629</v>
      </c>
      <c r="O87" s="829"/>
      <c r="P87" s="830">
        <f>P85-O85</f>
        <v>12608.196283927373</v>
      </c>
      <c r="Q87" s="829"/>
      <c r="R87" s="830">
        <f>R85-Q85</f>
        <v>9759.889006724954</v>
      </c>
      <c r="S87" s="829"/>
      <c r="T87" s="830">
        <f>T85-S85</f>
        <v>9764.1728239273762</v>
      </c>
      <c r="U87" s="829"/>
      <c r="V87" s="830">
        <f>V85-U85</f>
        <v>9998.0413987491611</v>
      </c>
      <c r="W87" s="829"/>
      <c r="X87" s="830">
        <f>X85-W85</f>
        <v>4556.7433067249531</v>
      </c>
      <c r="Y87" s="829"/>
      <c r="Z87" s="830">
        <f>Z85-Y85</f>
        <v>2963.8837225779062</v>
      </c>
      <c r="AA87" s="829"/>
      <c r="AB87" s="830">
        <f>AB85-AA85</f>
        <v>6536.6810267249512</v>
      </c>
      <c r="AC87" s="829"/>
      <c r="AD87" s="830">
        <f>AD85-AC85</f>
        <v>5145.5013139754519</v>
      </c>
      <c r="AE87" s="829"/>
      <c r="AF87" s="830">
        <f>AF85-AE85</f>
        <v>2920.7805777746289</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-39.05495402028069</v>
      </c>
      <c r="E88" s="74"/>
      <c r="F88" s="74"/>
      <c r="G88" s="833" t="s">
        <v>874</v>
      </c>
      <c r="H88" s="834" t="s">
        <v>1184</v>
      </c>
      <c r="I88" s="618"/>
      <c r="J88" s="615">
        <f>J86-I86</f>
        <v>2.4845488652861789</v>
      </c>
      <c r="K88" s="618"/>
      <c r="L88" s="615">
        <f>L86-K86</f>
        <v>4.3678125234842948</v>
      </c>
      <c r="M88" s="618"/>
      <c r="N88" s="615">
        <f>N86-M86</f>
        <v>3.1293688652861817</v>
      </c>
      <c r="O88" s="618"/>
      <c r="P88" s="615">
        <f>P86-O86</f>
        <v>10.839351244177541</v>
      </c>
      <c r="Q88" s="618"/>
      <c r="R88" s="615">
        <f>R86-Q86</f>
        <v>8.3901896189834595</v>
      </c>
      <c r="S88" s="618"/>
      <c r="T88" s="615">
        <f>T86-S86</f>
        <v>8.3939312441775424</v>
      </c>
      <c r="U88" s="618"/>
      <c r="V88" s="615">
        <f>V86-U86</f>
        <v>8.5955458709242762</v>
      </c>
      <c r="W88" s="618"/>
      <c r="X88" s="615">
        <f>X86-W86</f>
        <v>3.9162896189834591</v>
      </c>
      <c r="Y88" s="618"/>
      <c r="Z88" s="615">
        <f>Z86-Y86</f>
        <v>2.546347076216998</v>
      </c>
      <c r="AA88" s="618"/>
      <c r="AB88" s="615">
        <f>AB86-AA86</f>
        <v>5.6187296189834584</v>
      </c>
      <c r="AC88" s="618"/>
      <c r="AD88" s="615">
        <f>AD86-AC86</f>
        <v>4.4219634180188905</v>
      </c>
      <c r="AE88" s="618"/>
      <c r="AF88" s="615">
        <f>AF86-AE86</f>
        <v>2.5089688652861817</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-16.380359926043436</v>
      </c>
      <c r="E89" s="74"/>
      <c r="F89" s="74"/>
      <c r="G89" s="544" t="s">
        <v>874</v>
      </c>
      <c r="H89" s="545" t="s">
        <v>1181</v>
      </c>
      <c r="I89" s="630"/>
      <c r="J89" s="837">
        <f>(J87/I85)*100</f>
        <v>18.269026407002332</v>
      </c>
      <c r="K89" s="630"/>
      <c r="L89" s="837">
        <f>(L87/K85)*100</f>
        <v>35.540817318828303</v>
      </c>
      <c r="M89" s="630"/>
      <c r="N89" s="837">
        <f>(N87/M85)*100</f>
        <v>23.005752261821733</v>
      </c>
      <c r="O89" s="630"/>
      <c r="P89" s="837">
        <f>(P87/O85)*100</f>
        <v>111.75349203144901</v>
      </c>
      <c r="Q89" s="630"/>
      <c r="R89" s="837">
        <f>(R87/Q85)*100</f>
        <v>83.716792589804712</v>
      </c>
      <c r="S89" s="630"/>
      <c r="T89" s="837">
        <f>(T87/S85)*100</f>
        <v>86.545322209447974</v>
      </c>
      <c r="U89" s="630"/>
      <c r="V89" s="837">
        <f>(V87/U85)*100</f>
        <v>126.59747161110468</v>
      </c>
      <c r="W89" s="630"/>
      <c r="X89" s="837">
        <f>(X87/W85)*100</f>
        <v>39.086093502827907</v>
      </c>
      <c r="Y89" s="630"/>
      <c r="Z89" s="837">
        <f>(Z87/Y85)*100</f>
        <v>21.494093183000597</v>
      </c>
      <c r="AA89" s="630"/>
      <c r="AB89" s="837">
        <f>(AB87/AA85)*100</f>
        <v>56.069282075132321</v>
      </c>
      <c r="AC89" s="630"/>
      <c r="AD89" s="837">
        <f>(AD87/AC85)*100</f>
        <v>33.583671142699487</v>
      </c>
      <c r="AE89" s="630"/>
      <c r="AF89" s="837">
        <f>(AF87/AE85)*100</f>
        <v>18.448411111841967</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2243.8278947368426</v>
      </c>
      <c r="D90" s="841">
        <f>IF('Система ГВС'!F3=2,0,'Ввод исходных данных'!F218)</f>
        <v>1666.52</v>
      </c>
      <c r="E90" s="74"/>
      <c r="F90" s="317"/>
      <c r="G90" s="842" t="s">
        <v>1219</v>
      </c>
      <c r="H90" s="839" t="s">
        <v>1345</v>
      </c>
      <c r="I90" s="843">
        <f>G167*G170*'Ввод исходных данных'!$D$22/1000*(1-0.4*'Ввод исходных данных'!D21/'Ввод исходных данных'!D20)*'Система ГВС'!$H$4</f>
        <v>205.61236989903077</v>
      </c>
      <c r="J90" s="844">
        <f>'Ввод исходных данных'!F206*'Система ГВС'!$H$4</f>
        <v>119.7</v>
      </c>
      <c r="K90" s="843">
        <f>H167*H165*'Ввод исходных данных'!$D$22/1000*(1-0.4*'Ввод исходных данных'!D21/'Ввод исходных данных'!D20)*'Система ГВС'!$H$4</f>
        <v>185.71439861847938</v>
      </c>
      <c r="L90" s="844">
        <f>'Ввод исходных данных'!$F$207*'Система ГВС'!$H$4</f>
        <v>128.27000000000001</v>
      </c>
      <c r="M90" s="843">
        <f>I167*I165*'Ввод исходных данных'!$D$22/1000*(1-0.4*'Ввод исходных данных'!D21/'Ввод исходных данных'!D20)*'Система ГВС'!$H$4</f>
        <v>205.61236989903077</v>
      </c>
      <c r="N90" s="844">
        <f>'Ввод исходных данных'!$F$208*'Система ГВС'!$H$4</f>
        <v>129.47</v>
      </c>
      <c r="O90" s="843">
        <f>J167*J165*'Ввод исходных данных'!$D$22/1000*(1-0.4*'Ввод исходных данных'!D21/'Ввод исходных данных'!D20)*'Система ГВС'!$H$4</f>
        <v>179.08174152496227</v>
      </c>
      <c r="P90" s="844">
        <f>'Ввод исходных данных'!$F$209*'Система ГВС'!$H$4</f>
        <v>187</v>
      </c>
      <c r="Q90" s="843">
        <f>K167*K165*'Ввод исходных данных'!$D$22/1000*(1-0.4*'Ввод исходных данных'!D21/'Ввод исходных данных'!D20)*'Система ГВС'!$H$4</f>
        <v>185.05113290912772</v>
      </c>
      <c r="R90" s="844">
        <f>'Ввод исходных данных'!$F$210*'Система ГВС'!$H$4</f>
        <v>189.19</v>
      </c>
      <c r="S90" s="843">
        <f>L167*L165*'Ввод исходных данных'!$D$22/1000*(1-0.4*'Ввод исходных данных'!D21/'Ввод исходных данных'!D20)*'Система ГВС'!$H$4</f>
        <v>179.08174152496227</v>
      </c>
      <c r="T90" s="844">
        <f>'Ввод исходных данных'!$F$211*'Система ГВС'!$H$4</f>
        <v>183.27</v>
      </c>
      <c r="U90" s="843">
        <f>M167*M170*'Ввод исходных данных'!$D$22/1000*(1-0.4*'Ввод исходных данных'!D21/'Ввод исходных данных'!D20)*'Система ГВС'!$H$4</f>
        <v>125.35721906747359</v>
      </c>
      <c r="V90" s="844">
        <f>'Ввод исходных данных'!$F$212*'Система ГВС'!$H$4</f>
        <v>133.1</v>
      </c>
      <c r="W90" s="843">
        <f>N167*N165*'Ввод исходных данных'!$D$22/1000*(1-0.4*'Ввод исходных данных'!D21/'Ввод исходных данных'!D20)*'Система ГВС'!$H$4</f>
        <v>185.05113290912772</v>
      </c>
      <c r="X90" s="845">
        <f>'Ввод исходных данных'!$F$213*'Система ГВС'!$H$4</f>
        <v>106.34</v>
      </c>
      <c r="Y90" s="843">
        <f>O167*O165*'Ввод исходных данных'!$D$22/1000*(1-0.4*'Ввод исходных данных'!D21/'Ввод исходных данных'!D20)*'Система ГВС'!$H$4</f>
        <v>179.08174152496227</v>
      </c>
      <c r="Z90" s="846">
        <f>'Ввод исходных данных'!$F$214*'Система ГВС'!$H$4</f>
        <v>114.91</v>
      </c>
      <c r="AA90" s="843">
        <f>P167*P165*'Ввод исходных данных'!$D$22/1000*(1-0.4*'Ввод исходных данных'!D21/'Ввод исходных данных'!D20)*'Система ГВС'!$H$4</f>
        <v>185.05113290912772</v>
      </c>
      <c r="AB90" s="845">
        <f>'Ввод исходных данных'!$F$215*'Система ГВС'!$H$4</f>
        <v>112.8</v>
      </c>
      <c r="AC90" s="843">
        <f>Q167*Q165*'Ввод исходных данных'!$D$22/1000*(1-0.4*'Ввод исходных данных'!D21/'Ввод исходных данных'!D20)*'Система ГВС'!$H$4</f>
        <v>198.97971280551366</v>
      </c>
      <c r="AD90" s="847">
        <f>'Ввод исходных данных'!$F$216*'Система ГВС'!$H$4</f>
        <v>142.4</v>
      </c>
      <c r="AE90" s="843">
        <f>R167*R165*'Ввод исходных данных'!$D$22/1000*(1-0.4*'Ввод исходных данных'!D21/'Ввод исходных данных'!D20)*'Система ГВС'!$H$4</f>
        <v>205.61236989903077</v>
      </c>
      <c r="AF90" s="664">
        <f>'Ввод исходных данных'!$F$217*'Система ГВС'!$H$4</f>
        <v>120.07</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-577.30789473684263</v>
      </c>
      <c r="E91" s="74"/>
      <c r="F91" s="74"/>
      <c r="G91" s="828" t="s">
        <v>1220</v>
      </c>
      <c r="H91" s="809" t="s">
        <v>1217</v>
      </c>
      <c r="I91" s="850"/>
      <c r="J91" s="830">
        <f>J90-I90</f>
        <v>-85.912369899030764</v>
      </c>
      <c r="K91" s="850"/>
      <c r="L91" s="830">
        <f>L90-K90</f>
        <v>-57.444398618479369</v>
      </c>
      <c r="M91" s="850"/>
      <c r="N91" s="830">
        <f>N90-M90</f>
        <v>-76.142369899030768</v>
      </c>
      <c r="O91" s="850"/>
      <c r="P91" s="830">
        <f>P90-O90</f>
        <v>7.9182584750377316</v>
      </c>
      <c r="Q91" s="829"/>
      <c r="R91" s="830">
        <f>R90-Q90</f>
        <v>4.1388670908722816</v>
      </c>
      <c r="S91" s="850"/>
      <c r="T91" s="830">
        <f>T90-S90</f>
        <v>4.1882584750377418</v>
      </c>
      <c r="U91" s="829"/>
      <c r="V91" s="830">
        <f>V90-U90</f>
        <v>7.7427809325264008</v>
      </c>
      <c r="W91" s="829"/>
      <c r="X91" s="830">
        <f>X90-W90</f>
        <v>-78.711132909127713</v>
      </c>
      <c r="Y91" s="829"/>
      <c r="Z91" s="830">
        <f>Z90-Y90</f>
        <v>-64.171741524962272</v>
      </c>
      <c r="AA91" s="850"/>
      <c r="AB91" s="851">
        <f>AB90-AA90</f>
        <v>-72.251132909127719</v>
      </c>
      <c r="AC91" s="121"/>
      <c r="AD91" s="852">
        <f>AD90-AC90</f>
        <v>-56.579712805513651</v>
      </c>
      <c r="AE91" s="829"/>
      <c r="AF91" s="830">
        <f>AF90-AE90</f>
        <v>-85.542369899030774</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-25.72870655949081</v>
      </c>
      <c r="E92" s="74"/>
      <c r="F92" s="74"/>
      <c r="G92" s="544" t="s">
        <v>874</v>
      </c>
      <c r="H92" s="545" t="s">
        <v>1181</v>
      </c>
      <c r="I92" s="622"/>
      <c r="J92" s="854">
        <f>(J91/I90)*100</f>
        <v>-41.783658221156344</v>
      </c>
      <c r="K92" s="622"/>
      <c r="L92" s="854">
        <f>(L91/K90)*100</f>
        <v>-30.931580451384239</v>
      </c>
      <c r="M92" s="622"/>
      <c r="N92" s="854">
        <f>(N91/M90)*100</f>
        <v>-37.031998578889826</v>
      </c>
      <c r="O92" s="622"/>
      <c r="P92" s="854">
        <f>(P91/O90)*100</f>
        <v>4.4215889390007987</v>
      </c>
      <c r="Q92" s="630"/>
      <c r="R92" s="837">
        <f>(R91/Q90)*100</f>
        <v>2.2366072694646717</v>
      </c>
      <c r="S92" s="622"/>
      <c r="T92" s="837">
        <f>(T91/S90)*100</f>
        <v>2.3387412024100396</v>
      </c>
      <c r="U92" s="630"/>
      <c r="V92" s="837">
        <f>(V91/U90)*100</f>
        <v>6.1765736270512228</v>
      </c>
      <c r="W92" s="630"/>
      <c r="X92" s="837">
        <f>(X91/W90)*100</f>
        <v>-42.534801960807265</v>
      </c>
      <c r="Y92" s="630"/>
      <c r="Z92" s="837">
        <f>(Z91/Y90)*100</f>
        <v>-35.833771203312395</v>
      </c>
      <c r="AA92" s="622"/>
      <c r="AB92" s="837">
        <f>(AB91/AA90)*100</f>
        <v>-39.043874940559149</v>
      </c>
      <c r="AC92" s="620"/>
      <c r="AD92" s="837">
        <f>(AD91/AC90)*100</f>
        <v>-28.434915302554327</v>
      </c>
      <c r="AE92" s="630"/>
      <c r="AF92" s="837">
        <f>(AF91/AE90)*100</f>
        <v>-41.603707958347897</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116.41427196731934</v>
      </c>
      <c r="D93" s="856">
        <f>D85/('Ввод исходных данных'!$G$45+'Ввод исходных данных'!$G$23)</f>
        <v>97.345195213789339</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0.10011627389189462</v>
      </c>
      <c r="D94" s="858">
        <f>D86/('Ввод исходных данных'!$G$45+'Ввод исходных данных'!D23)</f>
        <v>8.3701801559578112E-2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64.394729063273033</v>
      </c>
      <c r="D95" s="862">
        <f>D90*1000/(365*'Ввод исходных данных'!$D$22)</f>
        <v>44.328235137651284</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92" t="s">
        <v>834</v>
      </c>
      <c r="B98" s="1799" t="s">
        <v>1174</v>
      </c>
      <c r="C98" s="1801" t="s">
        <v>1175</v>
      </c>
      <c r="D98" s="1803" t="s">
        <v>1176</v>
      </c>
      <c r="E98" s="74"/>
      <c r="F98" s="74"/>
      <c r="G98" s="1781" t="s">
        <v>834</v>
      </c>
      <c r="H98" s="1783" t="s">
        <v>1174</v>
      </c>
      <c r="I98" s="1766" t="s">
        <v>488</v>
      </c>
      <c r="J98" s="1767"/>
      <c r="K98" s="1766" t="s">
        <v>489</v>
      </c>
      <c r="L98" s="1767"/>
      <c r="M98" s="1766" t="s">
        <v>490</v>
      </c>
      <c r="N98" s="1767"/>
      <c r="O98" s="1766" t="s">
        <v>491</v>
      </c>
      <c r="P98" s="1767"/>
      <c r="Q98" s="1766" t="s">
        <v>805</v>
      </c>
      <c r="R98" s="1767"/>
      <c r="S98" s="1766" t="s">
        <v>806</v>
      </c>
      <c r="T98" s="1767"/>
      <c r="U98" s="1766" t="s">
        <v>807</v>
      </c>
      <c r="V98" s="1767"/>
      <c r="W98" s="1766" t="s">
        <v>808</v>
      </c>
      <c r="X98" s="1767"/>
      <c r="Y98" s="1766" t="s">
        <v>809</v>
      </c>
      <c r="Z98" s="1767"/>
      <c r="AA98" s="1766" t="s">
        <v>482</v>
      </c>
      <c r="AB98" s="1767"/>
      <c r="AC98" s="1766" t="s">
        <v>486</v>
      </c>
      <c r="AD98" s="1767"/>
      <c r="AE98" s="1766" t="s">
        <v>487</v>
      </c>
      <c r="AF98" s="176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93"/>
      <c r="B99" s="1800"/>
      <c r="C99" s="1802"/>
      <c r="D99" s="1804"/>
      <c r="E99" s="74"/>
      <c r="F99" s="74"/>
      <c r="G99" s="1782"/>
      <c r="H99" s="1784"/>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3245.6</v>
      </c>
      <c r="D100" s="841">
        <f>'Ввод исходных данных'!Y235*1000</f>
        <v>3245.599999999999</v>
      </c>
      <c r="E100" s="74"/>
      <c r="F100" s="74"/>
      <c r="G100" s="808" t="s">
        <v>1225</v>
      </c>
      <c r="H100" s="865" t="s">
        <v>842</v>
      </c>
      <c r="I100" s="810">
        <f>I102+I104+I106+I111</f>
        <v>272.50666666666666</v>
      </c>
      <c r="J100" s="866">
        <f>'Ввод исходных данных'!$Y$223*1000</f>
        <v>272.50666666666666</v>
      </c>
      <c r="K100" s="810">
        <f>K102+K104+K106+K111</f>
        <v>268.18666666666667</v>
      </c>
      <c r="L100" s="866">
        <f>'Ввод исходных данных'!$Y$224*1000</f>
        <v>268.18666666666667</v>
      </c>
      <c r="M100" s="810">
        <f>M102+M104+M106+M111</f>
        <v>272.50666666666666</v>
      </c>
      <c r="N100" s="866">
        <f>'Ввод исходных данных'!$Y$225*1000</f>
        <v>272.50666666666666</v>
      </c>
      <c r="O100" s="810">
        <f>O102+O104+O106+O111</f>
        <v>271.06666666666666</v>
      </c>
      <c r="P100" s="866">
        <f>'Ввод исходных данных'!$Y$226*1000</f>
        <v>271.06666666666666</v>
      </c>
      <c r="Q100" s="810">
        <f>Q102+Q104+Q106+Q111</f>
        <v>272.50666666666666</v>
      </c>
      <c r="R100" s="866">
        <f>'Ввод исходных данных'!$Y$227*1000</f>
        <v>272.50666666666666</v>
      </c>
      <c r="S100" s="810">
        <f>S102+S104+S106+S111</f>
        <v>271.06666666666666</v>
      </c>
      <c r="T100" s="866">
        <f>'Ввод исходных данных'!$Y$228*1000</f>
        <v>271.06666666666666</v>
      </c>
      <c r="U100" s="810">
        <f>U102+U104+U106+U111</f>
        <v>258.10666666666668</v>
      </c>
      <c r="V100" s="866">
        <f>'Ввод исходных данных'!$Y$229*1000</f>
        <v>258.10666666666663</v>
      </c>
      <c r="W100" s="810">
        <f>W102+W104+W106+W111</f>
        <v>272.50666666666666</v>
      </c>
      <c r="X100" s="866">
        <f>'Ввод исходных данных'!$Y$230*1000</f>
        <v>272.50666666666666</v>
      </c>
      <c r="Y100" s="810">
        <f>Y102+Y104+Y106+Y111</f>
        <v>271.06666666666666</v>
      </c>
      <c r="Z100" s="866">
        <f>'Ввод исходных данных'!$Y$231*1000</f>
        <v>271.06666666666666</v>
      </c>
      <c r="AA100" s="810">
        <f>AA102+AA104+AA106+AA111</f>
        <v>272.50666666666666</v>
      </c>
      <c r="AB100" s="866">
        <f>'Ввод исходных данных'!$Y$232*1000</f>
        <v>272.50666666666666</v>
      </c>
      <c r="AC100" s="810">
        <f>AC102+AC104+AC106+AC111</f>
        <v>271.06666666666666</v>
      </c>
      <c r="AD100" s="866">
        <f>'Ввод исходных данных'!$Y$233*1000</f>
        <v>271.06666666666666</v>
      </c>
      <c r="AE100" s="810">
        <f>AE102+AE104+AE106+AE111</f>
        <v>272.50666666666666</v>
      </c>
      <c r="AF100" s="866">
        <f>'Ввод исходных данных'!$Y$234*1000</f>
        <v>272.50666666666666</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100.00000000000001</v>
      </c>
      <c r="J101" s="874">
        <f>J103+J105+J107+J112</f>
        <v>100.00000000000001</v>
      </c>
      <c r="K101" s="873">
        <f>K103+K105+K107+K112</f>
        <v>100</v>
      </c>
      <c r="L101" s="874">
        <f>L103+L105+L107+L112</f>
        <v>100</v>
      </c>
      <c r="M101" s="873">
        <f>M103+M105+M107+M112</f>
        <v>100.00000000000001</v>
      </c>
      <c r="N101" s="874">
        <f>N103+N105+N107+N112</f>
        <v>100.00000000000001</v>
      </c>
      <c r="O101" s="873">
        <f>O103+O105+O107+O112</f>
        <v>100</v>
      </c>
      <c r="P101" s="874">
        <f>P103+P105+P107+P112</f>
        <v>100</v>
      </c>
      <c r="Q101" s="873">
        <f>Q103+Q105+Q107+Q112</f>
        <v>100.00000000000001</v>
      </c>
      <c r="R101" s="874">
        <f>R103+R105+R107+R112</f>
        <v>100.00000000000001</v>
      </c>
      <c r="S101" s="873">
        <f>S103+S105+S107+S112</f>
        <v>100</v>
      </c>
      <c r="T101" s="874">
        <f>T103+T105+T107+T112</f>
        <v>100</v>
      </c>
      <c r="U101" s="873">
        <f>U103+U105+U107+U112</f>
        <v>100</v>
      </c>
      <c r="V101" s="874">
        <f>V103+V105+V107+V112</f>
        <v>100.00000000000001</v>
      </c>
      <c r="W101" s="873">
        <f>W103+W105+W107+W112</f>
        <v>100.00000000000001</v>
      </c>
      <c r="X101" s="874">
        <f>X103+X105+X107+X112</f>
        <v>100.00000000000001</v>
      </c>
      <c r="Y101" s="873">
        <f>Y103+Y105+Y107+Y112</f>
        <v>100</v>
      </c>
      <c r="Z101" s="874">
        <f>Z103+Z105+Z107+Z112</f>
        <v>100</v>
      </c>
      <c r="AA101" s="873">
        <f>AA103+AA105+AA107+AA112</f>
        <v>100.00000000000001</v>
      </c>
      <c r="AB101" s="874">
        <f>AB103+AB105+AB107+AB112</f>
        <v>100.00000000000001</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2734.4</v>
      </c>
      <c r="D102" s="879">
        <f>'Ввод исходных данных'!Z235*1000</f>
        <v>2734.3999999999992</v>
      </c>
      <c r="E102" s="74"/>
      <c r="F102" s="74"/>
      <c r="G102" s="880" t="s">
        <v>1226</v>
      </c>
      <c r="H102" s="881" t="s">
        <v>842</v>
      </c>
      <c r="I102" s="882">
        <f>$C$102/12</f>
        <v>227.86666666666667</v>
      </c>
      <c r="J102" s="875">
        <f>'Ввод исходных данных'!$Z$223*1000</f>
        <v>227.86666666666667</v>
      </c>
      <c r="K102" s="882">
        <f>$C$102/12</f>
        <v>227.86666666666667</v>
      </c>
      <c r="L102" s="875">
        <f>'Ввод исходных данных'!$Z$224*1000</f>
        <v>227.86666666666667</v>
      </c>
      <c r="M102" s="882">
        <f>$C$102/12</f>
        <v>227.86666666666667</v>
      </c>
      <c r="N102" s="875">
        <f>'Ввод исходных данных'!$Z$225*1000</f>
        <v>227.86666666666667</v>
      </c>
      <c r="O102" s="882">
        <f>$C$102/12</f>
        <v>227.86666666666667</v>
      </c>
      <c r="P102" s="875">
        <f>'Ввод исходных данных'!$Z$226*1000</f>
        <v>227.86666666666667</v>
      </c>
      <c r="Q102" s="882">
        <f>$C$102/12</f>
        <v>227.86666666666667</v>
      </c>
      <c r="R102" s="875">
        <f>'Ввод исходных данных'!$Z$227*1000</f>
        <v>227.86666666666667</v>
      </c>
      <c r="S102" s="882">
        <f>$C$102/12</f>
        <v>227.86666666666667</v>
      </c>
      <c r="T102" s="875">
        <f>'Ввод исходных данных'!$Z$228*1000</f>
        <v>227.86666666666667</v>
      </c>
      <c r="U102" s="882">
        <f>$C$102/12</f>
        <v>227.86666666666667</v>
      </c>
      <c r="V102" s="875">
        <f>'Ввод исходных данных'!$Z$229*1000</f>
        <v>227.86666666666667</v>
      </c>
      <c r="W102" s="882">
        <f>$C$102/12</f>
        <v>227.86666666666667</v>
      </c>
      <c r="X102" s="875">
        <f>'Ввод исходных данных'!$Z$230*1000</f>
        <v>227.86666666666667</v>
      </c>
      <c r="Y102" s="882">
        <f>$C$102/12</f>
        <v>227.86666666666667</v>
      </c>
      <c r="Z102" s="875">
        <f>'Ввод исходных данных'!$Z$231*1000</f>
        <v>227.86666666666667</v>
      </c>
      <c r="AA102" s="882">
        <f>$C$102/12</f>
        <v>227.86666666666667</v>
      </c>
      <c r="AB102" s="875">
        <f>'Ввод исходных данных'!$Z$232*1000</f>
        <v>227.86666666666667</v>
      </c>
      <c r="AC102" s="882">
        <f>$C$102/12</f>
        <v>227.86666666666667</v>
      </c>
      <c r="AD102" s="875">
        <f>'Ввод исходных данных'!$Z$233*1000</f>
        <v>227.86666666666667</v>
      </c>
      <c r="AE102" s="882">
        <f>$C$102/12</f>
        <v>227.86666666666667</v>
      </c>
      <c r="AF102" s="875">
        <f>'Ввод исходных данных'!$Z$234*1000</f>
        <v>227.86666666666667</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0.8424944540300715</v>
      </c>
      <c r="D103" s="884">
        <f>D102/$D$100</f>
        <v>0.8424944540300715</v>
      </c>
      <c r="E103" s="74"/>
      <c r="F103" s="74"/>
      <c r="G103" s="539" t="s">
        <v>874</v>
      </c>
      <c r="H103" s="881" t="s">
        <v>1181</v>
      </c>
      <c r="I103" s="882">
        <f t="shared" ref="I103:AF103" si="194">(I102/I100)*100</f>
        <v>83.618749388394178</v>
      </c>
      <c r="J103" s="885">
        <f t="shared" si="194"/>
        <v>83.618749388394178</v>
      </c>
      <c r="K103" s="886">
        <f t="shared" si="194"/>
        <v>84.965695535447949</v>
      </c>
      <c r="L103" s="887">
        <f t="shared" si="194"/>
        <v>84.965695535447949</v>
      </c>
      <c r="M103" s="886">
        <f t="shared" si="194"/>
        <v>83.618749388394178</v>
      </c>
      <c r="N103" s="887">
        <f t="shared" si="194"/>
        <v>83.618749388394178</v>
      </c>
      <c r="O103" s="886">
        <f t="shared" si="194"/>
        <v>84.062961141170689</v>
      </c>
      <c r="P103" s="887">
        <f t="shared" si="194"/>
        <v>84.062961141170689</v>
      </c>
      <c r="Q103" s="886">
        <f t="shared" si="194"/>
        <v>83.618749388394178</v>
      </c>
      <c r="R103" s="887">
        <f t="shared" si="194"/>
        <v>83.618749388394178</v>
      </c>
      <c r="S103" s="886">
        <f t="shared" si="194"/>
        <v>84.062961141170689</v>
      </c>
      <c r="T103" s="887">
        <f t="shared" si="194"/>
        <v>84.062961141170689</v>
      </c>
      <c r="U103" s="886">
        <f t="shared" si="194"/>
        <v>88.283913627440853</v>
      </c>
      <c r="V103" s="887">
        <f t="shared" si="194"/>
        <v>88.283913627440867</v>
      </c>
      <c r="W103" s="886">
        <f t="shared" si="194"/>
        <v>83.618749388394178</v>
      </c>
      <c r="X103" s="887">
        <f t="shared" si="194"/>
        <v>83.618749388394178</v>
      </c>
      <c r="Y103" s="886">
        <f t="shared" si="194"/>
        <v>84.062961141170689</v>
      </c>
      <c r="Z103" s="887">
        <f t="shared" si="194"/>
        <v>84.062961141170689</v>
      </c>
      <c r="AA103" s="886">
        <f t="shared" si="194"/>
        <v>83.618749388394178</v>
      </c>
      <c r="AB103" s="887">
        <f t="shared" si="194"/>
        <v>83.618749388394178</v>
      </c>
      <c r="AC103" s="886">
        <f t="shared" si="194"/>
        <v>84.062961141170689</v>
      </c>
      <c r="AD103" s="887">
        <f t="shared" si="194"/>
        <v>84.062961141170689</v>
      </c>
      <c r="AE103" s="886">
        <f t="shared" si="194"/>
        <v>83.618749388394178</v>
      </c>
      <c r="AF103" s="887">
        <f t="shared" si="194"/>
        <v>83.618749388394178</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0</v>
      </c>
      <c r="D104" s="879">
        <f>'Ввод исходных данных'!AA235*1000</f>
        <v>0</v>
      </c>
      <c r="E104" s="74"/>
      <c r="F104" s="74"/>
      <c r="G104" s="880" t="s">
        <v>1233</v>
      </c>
      <c r="H104" s="881" t="s">
        <v>842</v>
      </c>
      <c r="I104" s="888">
        <f>C104/12</f>
        <v>0</v>
      </c>
      <c r="J104" s="615">
        <f>'Ввод исходных данных'!$AA$223*1000</f>
        <v>0</v>
      </c>
      <c r="K104" s="888">
        <f>I104</f>
        <v>0</v>
      </c>
      <c r="L104" s="615">
        <f>'Ввод исходных данных'!$AA$224*1000</f>
        <v>0</v>
      </c>
      <c r="M104" s="888">
        <f>K104</f>
        <v>0</v>
      </c>
      <c r="N104" s="615">
        <f>'Ввод исходных данных'!$AA$225*1000</f>
        <v>0</v>
      </c>
      <c r="O104" s="888">
        <f>M104</f>
        <v>0</v>
      </c>
      <c r="P104" s="615">
        <f>'Ввод исходных данных'!$AA$226*1000</f>
        <v>0</v>
      </c>
      <c r="Q104" s="888">
        <f>O104</f>
        <v>0</v>
      </c>
      <c r="R104" s="615">
        <f>'Ввод исходных данных'!$AA$227*1000</f>
        <v>0</v>
      </c>
      <c r="S104" s="888">
        <f>Q104</f>
        <v>0</v>
      </c>
      <c r="T104" s="615">
        <f>'Ввод исходных данных'!$AA$228*1000</f>
        <v>0</v>
      </c>
      <c r="U104" s="888">
        <f>S104</f>
        <v>0</v>
      </c>
      <c r="V104" s="615">
        <f>'Ввод исходных данных'!$AA$229*1000</f>
        <v>0</v>
      </c>
      <c r="W104" s="888">
        <f>U104</f>
        <v>0</v>
      </c>
      <c r="X104" s="615">
        <f>'Ввод исходных данных'!$AA$230*1000</f>
        <v>0</v>
      </c>
      <c r="Y104" s="888">
        <f>W104</f>
        <v>0</v>
      </c>
      <c r="Z104" s="615">
        <f>'Ввод исходных данных'!$AA$231*1000</f>
        <v>0</v>
      </c>
      <c r="AA104" s="888">
        <f>Y104</f>
        <v>0</v>
      </c>
      <c r="AB104" s="615">
        <f>'Ввод исходных данных'!$AA$232*1000</f>
        <v>0</v>
      </c>
      <c r="AC104" s="888">
        <f>AA104</f>
        <v>0</v>
      </c>
      <c r="AD104" s="615">
        <f>'Ввод исходных данных'!$AA$233*1000</f>
        <v>0</v>
      </c>
      <c r="AE104" s="888">
        <f>AC104</f>
        <v>0</v>
      </c>
      <c r="AF104" s="615">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v>
      </c>
      <c r="D105" s="884">
        <f>D104/$D$100</f>
        <v>0</v>
      </c>
      <c r="E105" s="74"/>
      <c r="F105" s="74"/>
      <c r="G105" s="539" t="s">
        <v>874</v>
      </c>
      <c r="H105" s="881" t="s">
        <v>1181</v>
      </c>
      <c r="I105" s="882">
        <f t="shared" ref="I105:AF105" si="195">(I104/I100)*100</f>
        <v>0</v>
      </c>
      <c r="J105" s="885">
        <f t="shared" si="195"/>
        <v>0</v>
      </c>
      <c r="K105" s="886">
        <f t="shared" si="195"/>
        <v>0</v>
      </c>
      <c r="L105" s="887">
        <f t="shared" si="195"/>
        <v>0</v>
      </c>
      <c r="M105" s="886">
        <f t="shared" si="195"/>
        <v>0</v>
      </c>
      <c r="N105" s="887">
        <f t="shared" si="195"/>
        <v>0</v>
      </c>
      <c r="O105" s="886">
        <f t="shared" si="195"/>
        <v>0</v>
      </c>
      <c r="P105" s="887">
        <f t="shared" si="195"/>
        <v>0</v>
      </c>
      <c r="Q105" s="886">
        <f t="shared" si="195"/>
        <v>0</v>
      </c>
      <c r="R105" s="887">
        <f t="shared" si="195"/>
        <v>0</v>
      </c>
      <c r="S105" s="886">
        <f t="shared" si="195"/>
        <v>0</v>
      </c>
      <c r="T105" s="887">
        <f t="shared" si="195"/>
        <v>0</v>
      </c>
      <c r="U105" s="886">
        <f t="shared" si="195"/>
        <v>0</v>
      </c>
      <c r="V105" s="887">
        <f t="shared" si="195"/>
        <v>0</v>
      </c>
      <c r="W105" s="886">
        <f t="shared" si="195"/>
        <v>0</v>
      </c>
      <c r="X105" s="887">
        <f t="shared" si="195"/>
        <v>0</v>
      </c>
      <c r="Y105" s="886">
        <f t="shared" si="195"/>
        <v>0</v>
      </c>
      <c r="Z105" s="887">
        <f t="shared" si="195"/>
        <v>0</v>
      </c>
      <c r="AA105" s="886">
        <f t="shared" si="195"/>
        <v>0</v>
      </c>
      <c r="AB105" s="887">
        <f t="shared" si="195"/>
        <v>0</v>
      </c>
      <c r="AC105" s="886">
        <f t="shared" si="195"/>
        <v>0</v>
      </c>
      <c r="AD105" s="887">
        <f t="shared" si="195"/>
        <v>0</v>
      </c>
      <c r="AE105" s="886">
        <f t="shared" si="195"/>
        <v>0</v>
      </c>
      <c r="AF105" s="887">
        <f t="shared" si="195"/>
        <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511.2</v>
      </c>
      <c r="D106" s="879">
        <f>'Ввод исходных данных'!AB235*1000</f>
        <v>511.2</v>
      </c>
      <c r="E106" s="74"/>
      <c r="F106" s="74"/>
      <c r="G106" s="880" t="s">
        <v>1234</v>
      </c>
      <c r="H106" s="881" t="s">
        <v>842</v>
      </c>
      <c r="I106" s="878">
        <f>I108+I109+I110</f>
        <v>44.64</v>
      </c>
      <c r="J106" s="875">
        <f>'Ввод исходных данных'!$AB$223*1000</f>
        <v>44.64</v>
      </c>
      <c r="K106" s="878">
        <f>K108+K109+K110</f>
        <v>40.32</v>
      </c>
      <c r="L106" s="875">
        <f>'Ввод исходных данных'!$AB$224*1000</f>
        <v>40.32</v>
      </c>
      <c r="M106" s="878">
        <f>M108+M109+M110</f>
        <v>44.64</v>
      </c>
      <c r="N106" s="875">
        <f>'Ввод исходных данных'!$AB$225*1000</f>
        <v>44.64</v>
      </c>
      <c r="O106" s="878">
        <f>O108+O109+O110</f>
        <v>43.199999999999996</v>
      </c>
      <c r="P106" s="875">
        <f>'Ввод исходных данных'!$AB$226*1000</f>
        <v>43.199999999999996</v>
      </c>
      <c r="Q106" s="878">
        <f>Q108+Q109+Q110</f>
        <v>44.64</v>
      </c>
      <c r="R106" s="875">
        <f>'Ввод исходных данных'!$AB$227*1000</f>
        <v>44.64</v>
      </c>
      <c r="S106" s="878">
        <f>S108+S109+S110</f>
        <v>43.199999999999996</v>
      </c>
      <c r="T106" s="875">
        <f>'Ввод исходных данных'!$AB$228*1000</f>
        <v>43.199999999999996</v>
      </c>
      <c r="U106" s="878">
        <f>U108+U109+U110</f>
        <v>30.240000000000002</v>
      </c>
      <c r="V106" s="875">
        <f>'Ввод исходных данных'!$AB$229*1000</f>
        <v>30.240000000000002</v>
      </c>
      <c r="W106" s="878">
        <f>W108+W109+W110</f>
        <v>44.64</v>
      </c>
      <c r="X106" s="875">
        <f>'Ввод исходных данных'!$AB$230*1000</f>
        <v>44.64</v>
      </c>
      <c r="Y106" s="878">
        <f>Y108+Y109+Y110</f>
        <v>43.199999999999996</v>
      </c>
      <c r="Z106" s="875">
        <f>'Ввод исходных данных'!$AB$231*1000</f>
        <v>43.199999999999996</v>
      </c>
      <c r="AA106" s="878">
        <f>AA108+AA109+AA110</f>
        <v>44.64</v>
      </c>
      <c r="AB106" s="875">
        <f>'Ввод исходных данных'!$AB$232*1000</f>
        <v>44.64</v>
      </c>
      <c r="AC106" s="878">
        <f>AC108+AC109+AC110</f>
        <v>43.199999999999996</v>
      </c>
      <c r="AD106" s="875">
        <f>'Ввод исходных данных'!$AB$233*1000</f>
        <v>43.199999999999996</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44.64</v>
      </c>
      <c r="AF106" s="875">
        <f>'Ввод исходных данных'!$AB$234*1000</f>
        <v>44.64</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0.15750554596992852</v>
      </c>
      <c r="D107" s="884">
        <f>D106/$D$100</f>
        <v>0.15750554596992855</v>
      </c>
      <c r="E107" s="74"/>
      <c r="F107" s="74"/>
      <c r="G107" s="539" t="s">
        <v>874</v>
      </c>
      <c r="H107" s="881" t="s">
        <v>1181</v>
      </c>
      <c r="I107" s="886">
        <f t="shared" ref="I107:AF107" si="196">(I106/I100)*100</f>
        <v>16.381250611605832</v>
      </c>
      <c r="J107" s="887">
        <f t="shared" si="196"/>
        <v>16.381250611605832</v>
      </c>
      <c r="K107" s="886">
        <f t="shared" si="196"/>
        <v>15.034304464552054</v>
      </c>
      <c r="L107" s="887">
        <f t="shared" si="196"/>
        <v>15.034304464552054</v>
      </c>
      <c r="M107" s="886">
        <f t="shared" si="196"/>
        <v>16.381250611605832</v>
      </c>
      <c r="N107" s="887">
        <f t="shared" si="196"/>
        <v>16.381250611605832</v>
      </c>
      <c r="O107" s="886">
        <f t="shared" si="196"/>
        <v>15.937038858829315</v>
      </c>
      <c r="P107" s="887">
        <f t="shared" si="196"/>
        <v>15.937038858829315</v>
      </c>
      <c r="Q107" s="886">
        <f t="shared" si="196"/>
        <v>16.381250611605832</v>
      </c>
      <c r="R107" s="887">
        <f t="shared" si="196"/>
        <v>16.381250611605832</v>
      </c>
      <c r="S107" s="886">
        <f t="shared" si="196"/>
        <v>15.937038858829315</v>
      </c>
      <c r="T107" s="887">
        <f t="shared" si="196"/>
        <v>15.937038858829315</v>
      </c>
      <c r="U107" s="886">
        <f t="shared" si="196"/>
        <v>11.716086372559149</v>
      </c>
      <c r="V107" s="887">
        <f t="shared" si="196"/>
        <v>11.71608637255915</v>
      </c>
      <c r="W107" s="886">
        <f t="shared" si="196"/>
        <v>16.381250611605832</v>
      </c>
      <c r="X107" s="887">
        <f t="shared" si="196"/>
        <v>16.381250611605832</v>
      </c>
      <c r="Y107" s="886">
        <f t="shared" si="196"/>
        <v>15.937038858829315</v>
      </c>
      <c r="Z107" s="887">
        <f t="shared" si="196"/>
        <v>15.937038858829315</v>
      </c>
      <c r="AA107" s="886">
        <f t="shared" si="196"/>
        <v>16.381250611605832</v>
      </c>
      <c r="AB107" s="887">
        <f t="shared" si="196"/>
        <v>16.381250611605832</v>
      </c>
      <c r="AC107" s="886">
        <f t="shared" si="196"/>
        <v>15.937038858829315</v>
      </c>
      <c r="AD107" s="887">
        <f t="shared" si="196"/>
        <v>15.937038858829315</v>
      </c>
      <c r="AE107" s="886">
        <f t="shared" si="196"/>
        <v>16.381250611605832</v>
      </c>
      <c r="AF107" s="887">
        <f t="shared" si="196"/>
        <v>16.381250611605832</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511.2</v>
      </c>
      <c r="D109" s="890">
        <f>'Ввод исходных данных'!AD235*1000</f>
        <v>511.2</v>
      </c>
      <c r="E109" s="74"/>
      <c r="F109" s="74"/>
      <c r="G109" s="358" t="s">
        <v>1410</v>
      </c>
      <c r="H109" s="877" t="s">
        <v>842</v>
      </c>
      <c r="I109" s="886">
        <f>'Ввод исходных данных'!$D$150*'Расчет базового уровня'!$G$170*24</f>
        <v>44.64</v>
      </c>
      <c r="J109" s="887"/>
      <c r="K109" s="886">
        <f>'Ввод исходных данных'!$D$150*'Расчет базового уровня'!$H$170*24</f>
        <v>40.32</v>
      </c>
      <c r="L109" s="887"/>
      <c r="M109" s="886">
        <f>'Ввод исходных данных'!$D$150*'Расчет базового уровня'!$I$170*24</f>
        <v>44.64</v>
      </c>
      <c r="N109" s="887"/>
      <c r="O109" s="888">
        <f>'Ввод исходных данных'!$D$150*'Расчет базового уровня'!$J$170*24</f>
        <v>43.199999999999996</v>
      </c>
      <c r="P109" s="887"/>
      <c r="Q109" s="888">
        <f>'Ввод исходных данных'!$D$150*'Расчет базового уровня'!$K$170*24</f>
        <v>44.64</v>
      </c>
      <c r="R109" s="887"/>
      <c r="S109" s="888">
        <f>'Ввод исходных данных'!$D$150*'Расчет базового уровня'!$L$170*24</f>
        <v>43.199999999999996</v>
      </c>
      <c r="T109" s="887"/>
      <c r="U109" s="888">
        <f>'Ввод исходных данных'!$D$150*'Расчет базового уровня'!$M$170*24</f>
        <v>30.240000000000002</v>
      </c>
      <c r="V109" s="887"/>
      <c r="W109" s="888">
        <f>'Ввод исходных данных'!$D$150*'Расчет базового уровня'!$N$170*24</f>
        <v>44.64</v>
      </c>
      <c r="X109" s="887"/>
      <c r="Y109" s="888">
        <f>'Ввод исходных данных'!$D$150*'Расчет базового уровня'!$O$170*24</f>
        <v>43.199999999999996</v>
      </c>
      <c r="Z109" s="887"/>
      <c r="AA109" s="888">
        <f>'Ввод исходных данных'!$D$150*'Расчет базового уровня'!$P$170*24</f>
        <v>44.64</v>
      </c>
      <c r="AB109" s="887"/>
      <c r="AC109" s="888">
        <f>'Ввод исходных данных'!$D$150*'Расчет базового уровня'!$Q$170*24</f>
        <v>43.199999999999996</v>
      </c>
      <c r="AD109" s="887"/>
      <c r="AE109" s="886">
        <f>'Ввод исходных данных'!$D$150*'Расчет базового уровня'!$R$170*24</f>
        <v>44.64</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0</v>
      </c>
      <c r="E113" s="74"/>
      <c r="F113" s="74"/>
      <c r="G113" s="824" t="s">
        <v>1229</v>
      </c>
      <c r="H113" s="897" t="s">
        <v>842</v>
      </c>
      <c r="I113" s="898"/>
      <c r="J113" s="899">
        <f>J100-I100</f>
        <v>0</v>
      </c>
      <c r="K113" s="900"/>
      <c r="L113" s="901">
        <f>L100-K100</f>
        <v>0</v>
      </c>
      <c r="M113" s="902"/>
      <c r="N113" s="903">
        <f>N100-M100</f>
        <v>0</v>
      </c>
      <c r="O113" s="904"/>
      <c r="P113" s="903">
        <f>P100-O100</f>
        <v>0</v>
      </c>
      <c r="Q113" s="902"/>
      <c r="R113" s="903">
        <f>R100-Q100</f>
        <v>0</v>
      </c>
      <c r="S113" s="902"/>
      <c r="T113" s="903">
        <f>T100-S100</f>
        <v>0</v>
      </c>
      <c r="U113" s="902"/>
      <c r="V113" s="903">
        <f>V100-U100</f>
        <v>0</v>
      </c>
      <c r="W113" s="902"/>
      <c r="X113" s="903">
        <f>X100-W100</f>
        <v>0</v>
      </c>
      <c r="Y113" s="902"/>
      <c r="Z113" s="903">
        <f>Z100-Y100</f>
        <v>0</v>
      </c>
      <c r="AA113" s="902"/>
      <c r="AB113" s="903">
        <f>AB100-AA100</f>
        <v>0</v>
      </c>
      <c r="AC113" s="902"/>
      <c r="AD113" s="903">
        <f>AD100-AC100</f>
        <v>0</v>
      </c>
      <c r="AE113" s="902"/>
      <c r="AF113" s="903">
        <f>AF100-AE100</f>
        <v>0</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0</v>
      </c>
      <c r="E114" s="74"/>
      <c r="F114" s="74"/>
      <c r="G114" s="385" t="s">
        <v>874</v>
      </c>
      <c r="H114" s="907" t="s">
        <v>1181</v>
      </c>
      <c r="I114" s="908"/>
      <c r="J114" s="909">
        <f>(J113/I100)*100</f>
        <v>0</v>
      </c>
      <c r="K114" s="908"/>
      <c r="L114" s="909">
        <f>(L113/K100)*100</f>
        <v>0</v>
      </c>
      <c r="M114" s="894"/>
      <c r="N114" s="906">
        <f>(N113/M100)*100</f>
        <v>0</v>
      </c>
      <c r="O114" s="894"/>
      <c r="P114" s="906">
        <f>(P113/O100)*100</f>
        <v>0</v>
      </c>
      <c r="Q114" s="894"/>
      <c r="R114" s="906">
        <f>(R113/Q100)*100</f>
        <v>0</v>
      </c>
      <c r="S114" s="894"/>
      <c r="T114" s="906">
        <f>(T113/S100)*100</f>
        <v>0</v>
      </c>
      <c r="U114" s="894"/>
      <c r="V114" s="906">
        <f>(V113/U100)*100</f>
        <v>0</v>
      </c>
      <c r="W114" s="894"/>
      <c r="X114" s="906">
        <f>(X113/W100)*100</f>
        <v>0</v>
      </c>
      <c r="Y114" s="894"/>
      <c r="Z114" s="906">
        <f>(Z113/Y100)*100</f>
        <v>0</v>
      </c>
      <c r="AA114" s="894"/>
      <c r="AB114" s="906">
        <f>(AB113/AA100)*100</f>
        <v>0</v>
      </c>
      <c r="AC114" s="894"/>
      <c r="AD114" s="906">
        <f>(AD113/AC100)*100</f>
        <v>0</v>
      </c>
      <c r="AE114" s="894"/>
      <c r="AF114" s="906">
        <f>(AF113/AE100)*100</f>
        <v>0</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1.3640986844870338</v>
      </c>
      <c r="D115" s="465">
        <f>D100/('Ввод исходных данных'!$G$45+'Ввод исходных данных'!D23)</f>
        <v>1.3640986844870335</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1217.9000000000001</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1433.2014775057446</v>
      </c>
      <c r="F134" s="484">
        <f>E134*(20-$D$145)</f>
        <v>55894.857622724041</v>
      </c>
      <c r="G134" s="483">
        <f t="shared" ref="G134:R134" si="198">$E$134*0.024*G$147</f>
        <v>23671.90216366688</v>
      </c>
      <c r="H134" s="483">
        <f t="shared" si="198"/>
        <v>20899.517225579773</v>
      </c>
      <c r="I134" s="483">
        <f t="shared" si="198"/>
        <v>19513.324756536218</v>
      </c>
      <c r="J134" s="483">
        <f t="shared" si="198"/>
        <v>8463.3413649669237</v>
      </c>
      <c r="K134" s="483">
        <f t="shared" si="198"/>
        <v>0</v>
      </c>
      <c r="L134" s="483">
        <f t="shared" si="198"/>
        <v>0</v>
      </c>
      <c r="M134" s="483">
        <f t="shared" si="198"/>
        <v>0</v>
      </c>
      <c r="N134" s="483">
        <f t="shared" si="198"/>
        <v>0</v>
      </c>
      <c r="O134" s="483">
        <f t="shared" si="198"/>
        <v>0</v>
      </c>
      <c r="P134" s="483">
        <f t="shared" si="198"/>
        <v>7445.1950353468419</v>
      </c>
      <c r="Q134" s="483">
        <f t="shared" si="198"/>
        <v>17129.624059148664</v>
      </c>
      <c r="R134" s="483">
        <f t="shared" si="198"/>
        <v>21752.558744991191</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324</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0.55086956521739139</v>
      </c>
      <c r="D135" s="481">
        <v>1</v>
      </c>
      <c r="E135" s="483">
        <f t="shared" ref="E135:E138" si="199">IF(C135=0,0,B135/C135*D135)</f>
        <v>588.16101026045772</v>
      </c>
      <c r="F135" s="484">
        <f t="shared" ref="F135:F143" si="200">E135*(20-$D$145)</f>
        <v>22938.279400157851</v>
      </c>
      <c r="G135" s="483">
        <f t="shared" ref="G135:R135" si="201">$E$135*0.024*G$147</f>
        <v>9714.5377742699275</v>
      </c>
      <c r="H135" s="483">
        <f t="shared" si="201"/>
        <v>8576.799116022099</v>
      </c>
      <c r="I135" s="483">
        <f t="shared" si="201"/>
        <v>8007.9297868981857</v>
      </c>
      <c r="J135" s="483">
        <f t="shared" si="201"/>
        <v>3473.2083977900552</v>
      </c>
      <c r="K135" s="483">
        <f t="shared" si="201"/>
        <v>0</v>
      </c>
      <c r="L135" s="483">
        <f t="shared" si="201"/>
        <v>0</v>
      </c>
      <c r="M135" s="483">
        <f t="shared" si="201"/>
        <v>0</v>
      </c>
      <c r="N135" s="483">
        <f t="shared" si="201"/>
        <v>0</v>
      </c>
      <c r="O135" s="483">
        <f t="shared" si="201"/>
        <v>0</v>
      </c>
      <c r="P135" s="483">
        <f t="shared" si="201"/>
        <v>3055.3788161010257</v>
      </c>
      <c r="Q135" s="483">
        <f t="shared" si="201"/>
        <v>7029.7003946329914</v>
      </c>
      <c r="R135" s="483">
        <f t="shared" si="201"/>
        <v>8926.872549329124</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16.100000000000001</v>
      </c>
      <c r="C136" s="912">
        <f>IF('Ввод исходных данных'!D72=0,0.4*(1-'Ввод исходных данных'!$D$34/'Ввод исходных данных'!G55)+0.55*('Ввод исходных данных'!$D$34/'Ввод исходных данных'!G55),'Ввод исходных данных'!D72)</f>
        <v>0.4</v>
      </c>
      <c r="D136" s="481">
        <v>1</v>
      </c>
      <c r="E136" s="483">
        <f t="shared" si="199"/>
        <v>40.25</v>
      </c>
      <c r="F136" s="484">
        <f t="shared" si="200"/>
        <v>1569.75</v>
      </c>
      <c r="G136" s="483">
        <f t="shared" ref="G136:R136" si="202">$E$136*0.024*G$147</f>
        <v>664.80119999999988</v>
      </c>
      <c r="H136" s="483">
        <f t="shared" si="202"/>
        <v>586.94159999999999</v>
      </c>
      <c r="I136" s="483">
        <f t="shared" si="202"/>
        <v>548.01179999999999</v>
      </c>
      <c r="J136" s="483">
        <f t="shared" si="202"/>
        <v>237.68430000000001</v>
      </c>
      <c r="K136" s="483">
        <f t="shared" si="202"/>
        <v>0</v>
      </c>
      <c r="L136" s="483">
        <f t="shared" si="202"/>
        <v>0</v>
      </c>
      <c r="M136" s="483">
        <f t="shared" si="202"/>
        <v>0</v>
      </c>
      <c r="N136" s="483">
        <f t="shared" si="202"/>
        <v>0</v>
      </c>
      <c r="O136" s="483">
        <f t="shared" si="202"/>
        <v>0</v>
      </c>
      <c r="P136" s="483">
        <f t="shared" si="202"/>
        <v>209.09069999999997</v>
      </c>
      <c r="Q136" s="483">
        <f t="shared" si="202"/>
        <v>481.06800000000004</v>
      </c>
      <c r="R136" s="483">
        <f t="shared" si="202"/>
        <v>610.89839999999992</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39" s="914">
        <f>(20-'Расчет базового уровня'!$D$159)/(20-'Расчет базового уровня'!$D$145)</f>
        <v>0.10256410256410256</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528</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40" s="481">
        <v>0.9</v>
      </c>
      <c r="E140" s="483">
        <f>IF(C140=0,0,B140/C140*D140)</f>
        <v>636.03692307692302</v>
      </c>
      <c r="F140" s="484">
        <f t="shared" si="200"/>
        <v>24805.439999999999</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0</v>
      </c>
      <c r="C141" s="482">
        <f>IF('Ввод исходных данных'!D75=0,'Серии теплотехника'!B51+IF(списки!D37=1,1,0),'Ввод исходных данных'!D75)</f>
        <v>0.74712643678160928</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528</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0.44827586206896558</v>
      </c>
      <c r="D142" s="486">
        <f>('Ввод исходных данных'!D83-'Расчет базового уровня'!$D$160)/('Ввод исходных данных'!D83-'Расчет базового уровня'!$D$145)</f>
        <v>0.46153846153846156</v>
      </c>
      <c r="E142" s="483">
        <f>IF(C142=0,0,B142/C142*D142)</f>
        <v>543.6213017751478</v>
      </c>
      <c r="F142" s="484">
        <f t="shared" si="200"/>
        <v>21201.230769230766</v>
      </c>
      <c r="G142" s="483">
        <f>$E$142*0.024*G$147</f>
        <v>8978.88431715976</v>
      </c>
      <c r="H142" s="483">
        <f>$E$142*0.024*H$147</f>
        <v>7927.303271005916</v>
      </c>
      <c r="I142" s="483">
        <f t="shared" ref="I142:R142" si="208">$E$142*0.024*I$147</f>
        <v>7401.5127479289931</v>
      </c>
      <c r="J142" s="483">
        <f t="shared" si="208"/>
        <v>3210.1925112426029</v>
      </c>
      <c r="K142" s="483">
        <f t="shared" si="208"/>
        <v>0</v>
      </c>
      <c r="L142" s="483">
        <f t="shared" si="208"/>
        <v>0</v>
      </c>
      <c r="M142" s="483">
        <f t="shared" si="208"/>
        <v>0</v>
      </c>
      <c r="N142" s="483">
        <f t="shared" si="208"/>
        <v>0</v>
      </c>
      <c r="O142" s="483">
        <f t="shared" si="208"/>
        <v>0</v>
      </c>
      <c r="P142" s="483">
        <f t="shared" si="208"/>
        <v>2824.0039384615379</v>
      </c>
      <c r="Q142" s="483">
        <f t="shared" si="208"/>
        <v>6497.3617988165679</v>
      </c>
      <c r="R142" s="483">
        <f t="shared" si="208"/>
        <v>8250.8666698224824</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10</v>
      </c>
      <c r="C143" s="916">
        <f>IF('Ввод исходных данных'!D76=0,IF(списки!D35=0,0.5,0.95),'Ввод исходных данных'!D76)</f>
        <v>0.5</v>
      </c>
      <c r="D143" s="486">
        <v>1</v>
      </c>
      <c r="E143" s="483">
        <f>IF(C143=0,0,B143/C143*D143)</f>
        <v>20</v>
      </c>
      <c r="F143" s="484">
        <f t="shared" si="200"/>
        <v>780</v>
      </c>
      <c r="G143" s="483">
        <f>$E$143*0.024*G$147</f>
        <v>330.33599999999996</v>
      </c>
      <c r="H143" s="483">
        <f t="shared" ref="H143:R143" si="209">$E$143*0.024*H$147</f>
        <v>291.64800000000002</v>
      </c>
      <c r="I143" s="483">
        <f t="shared" si="209"/>
        <v>272.30400000000003</v>
      </c>
      <c r="J143" s="483">
        <f t="shared" si="209"/>
        <v>118.104</v>
      </c>
      <c r="K143" s="483">
        <f t="shared" si="209"/>
        <v>0</v>
      </c>
      <c r="L143" s="483">
        <f t="shared" si="209"/>
        <v>0</v>
      </c>
      <c r="M143" s="483">
        <f t="shared" si="209"/>
        <v>0</v>
      </c>
      <c r="N143" s="483">
        <f t="shared" si="209"/>
        <v>0</v>
      </c>
      <c r="O143" s="483">
        <f t="shared" si="209"/>
        <v>0</v>
      </c>
      <c r="P143" s="483">
        <f t="shared" si="209"/>
        <v>103.89599999999999</v>
      </c>
      <c r="Q143" s="483">
        <f t="shared" si="209"/>
        <v>239.04000000000002</v>
      </c>
      <c r="R143" s="483">
        <f t="shared" si="209"/>
        <v>303.55199999999996</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2086</v>
      </c>
      <c r="C144" s="916"/>
      <c r="D144" s="481"/>
      <c r="E144" s="483">
        <f>SUM(E134:E143)</f>
        <v>3261.2707126182731</v>
      </c>
      <c r="F144" s="484">
        <f>E144*(20-$D$145)/1000</f>
        <v>127.18955779211265</v>
      </c>
      <c r="G144" s="483">
        <f>SUM(G134:G143)</f>
        <v>43360.461455096578</v>
      </c>
      <c r="H144" s="483">
        <f t="shared" ref="H144:R144" si="210">SUM(H134:H143)</f>
        <v>38282.209212607791</v>
      </c>
      <c r="I144" s="483">
        <f t="shared" si="210"/>
        <v>35743.083091363391</v>
      </c>
      <c r="J144" s="483">
        <f t="shared" si="210"/>
        <v>15502.530573999582</v>
      </c>
      <c r="K144" s="483">
        <f t="shared" si="210"/>
        <v>0</v>
      </c>
      <c r="L144" s="483">
        <f t="shared" si="210"/>
        <v>0</v>
      </c>
      <c r="M144" s="483">
        <f t="shared" si="210"/>
        <v>0</v>
      </c>
      <c r="N144" s="483">
        <f t="shared" si="210"/>
        <v>0</v>
      </c>
      <c r="O144" s="483">
        <f t="shared" si="210"/>
        <v>0</v>
      </c>
      <c r="P144" s="483">
        <f t="shared" si="210"/>
        <v>13637.564489909406</v>
      </c>
      <c r="Q144" s="483">
        <f t="shared" si="210"/>
        <v>31376.794252598225</v>
      </c>
      <c r="R144" s="483">
        <f t="shared" si="210"/>
        <v>39844.748364142797</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-19</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188</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18.5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18.5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3534.4</v>
      </c>
      <c r="E147" s="74"/>
      <c r="F147" s="317"/>
      <c r="G147" s="490">
        <f>VLOOKUP(CONCATENATE('Ввод исходных данных'!$D$10,'Ввод исходных данных'!$D$11),Климатология!$D$9:$BF$548,G130+3,0)</f>
        <v>688.19999999999993</v>
      </c>
      <c r="H147" s="490">
        <f>VLOOKUP(CONCATENATE('Ввод исходных данных'!$D$10,'Ввод исходных данных'!$D$11),Климатология!$D$9:$BF$548,H130+3,0)</f>
        <v>607.6</v>
      </c>
      <c r="I147" s="490">
        <f>VLOOKUP(CONCATENATE('Ввод исходных данных'!$D$10,'Ввод исходных данных'!$D$11),Климатология!$D$9:$BF$548,I130+3,0)</f>
        <v>567.30000000000007</v>
      </c>
      <c r="J147" s="490">
        <f>VLOOKUP(CONCATENATE('Ввод исходных данных'!$D$10,'Ввод исходных данных'!$D$11),Климатология!$D$9:$BF$548,J130+3,0)</f>
        <v>246.05</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216.45</v>
      </c>
      <c r="Q147" s="490">
        <f>VLOOKUP(CONCATENATE('Ввод исходных данных'!$D$10,'Ввод исходных данных'!$D$11),Климатология!$D$9:$BF$548,Q130+3,0)</f>
        <v>498.00000000000006</v>
      </c>
      <c r="R147" s="490">
        <f>VLOOKUP(CONCATENATE('Ввод исходных данных'!$D$10,'Ввод исходных данных'!$D$11),Климатология!$D$9:$BF$548,R130+3,0)</f>
        <v>632.4</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16.131999999999998</v>
      </c>
      <c r="E148" s="74"/>
      <c r="F148" s="495">
        <f>17*D150/1000</f>
        <v>24.202900000000003</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23.1</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1423.7</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49.60118542727254</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1.0900000000000001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97.103162873189476</v>
      </c>
      <c r="E167" s="74"/>
      <c r="F167" s="317">
        <f>SUMPRODUCT(G167:R167,G170:R170)/365</f>
        <v>89.015666568134804</v>
      </c>
      <c r="G167" s="508">
        <f>IF(G146&gt;=0.8*G165,$D$167,$D$169*$D$167)</f>
        <v>97.103162873189476</v>
      </c>
      <c r="H167" s="508">
        <f t="shared" ref="H167:R167" si="211">IF(H146&gt;=0.8*H165,$D$167,$D$169*$D$167)</f>
        <v>97.103162873189476</v>
      </c>
      <c r="I167" s="508">
        <f t="shared" si="211"/>
        <v>97.103162873189476</v>
      </c>
      <c r="J167" s="508">
        <f t="shared" si="211"/>
        <v>87.392846585870529</v>
      </c>
      <c r="K167" s="508">
        <f t="shared" si="211"/>
        <v>87.392846585870529</v>
      </c>
      <c r="L167" s="508">
        <f t="shared" si="211"/>
        <v>87.392846585870529</v>
      </c>
      <c r="M167" s="508">
        <f t="shared" si="211"/>
        <v>87.392846585870529</v>
      </c>
      <c r="N167" s="508">
        <f t="shared" si="211"/>
        <v>87.392846585870529</v>
      </c>
      <c r="O167" s="508">
        <f t="shared" si="211"/>
        <v>87.392846585870529</v>
      </c>
      <c r="P167" s="508">
        <f t="shared" si="211"/>
        <v>87.392846585870529</v>
      </c>
      <c r="Q167" s="508">
        <f t="shared" si="211"/>
        <v>97.103162873189476</v>
      </c>
      <c r="R167" s="508">
        <f t="shared" si="211"/>
        <v>97.103162873189476</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355</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21</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0.41673440733077149</v>
      </c>
      <c r="E171" s="74"/>
      <c r="F171" s="74"/>
      <c r="G171" s="512">
        <f>G167*'Ввод исходных данных'!$D$22/24/1000</f>
        <v>0.41673440733077149</v>
      </c>
      <c r="H171" s="512">
        <f>H167*'Ввод исходных данных'!$D$22/24/1000</f>
        <v>0.41673440733077149</v>
      </c>
      <c r="I171" s="512">
        <f>I167*'Ввод исходных данных'!$D$22/24/1000</f>
        <v>0.41673440733077149</v>
      </c>
      <c r="J171" s="512">
        <f>J167*'Ввод исходных данных'!$D$22/24/1000</f>
        <v>0.37506096659769439</v>
      </c>
      <c r="K171" s="512">
        <f>K167*'Ввод исходных данных'!$D$22/24/1000</f>
        <v>0.37506096659769439</v>
      </c>
      <c r="L171" s="512">
        <f>L167*'Ввод исходных данных'!$D$22/24/1000</f>
        <v>0.37506096659769439</v>
      </c>
      <c r="M171" s="512">
        <f>M167*'Ввод исходных данных'!$D$22/24/1000</f>
        <v>0.37506096659769439</v>
      </c>
      <c r="N171" s="512">
        <f>N167*'Ввод исходных данных'!$D$22/24/1000</f>
        <v>0.37506096659769439</v>
      </c>
      <c r="O171" s="512">
        <f>O167*'Ввод исходных данных'!$D$22/24/1000</f>
        <v>0.37506096659769439</v>
      </c>
      <c r="P171" s="512">
        <f>P167*'Ввод исходных данных'!$D$22/24/1000</f>
        <v>0.37506096659769439</v>
      </c>
      <c r="Q171" s="512">
        <f>Q167*'Ввод исходных данных'!$D$22/24/1000</f>
        <v>0.41673440733077149</v>
      </c>
      <c r="R171" s="512">
        <f>R167*'Ввод исходных данных'!$D$22/24/1000</f>
        <v>0.41673440733077149</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2.1541056561713701</v>
      </c>
      <c r="E172" s="74">
        <f>D172*(60-5)*4.2/3.6*1.1</f>
        <v>152.04395756476256</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15.576965710907482</v>
      </c>
      <c r="E173" s="74">
        <f>E172*0.86/1000</f>
        <v>0.1307578035056958</v>
      </c>
      <c r="F173" s="74"/>
      <c r="G173" s="513">
        <f xml:space="preserve"> (G167*($D$174-IF(G146&gt;=0.8*G165,$D$175,'Ввод исходных данных'!$D$109))*(1+$D$176)*1*$D$177)/(3.6*24*$D$178)</f>
        <v>15.576965710907482</v>
      </c>
      <c r="H173" s="513">
        <f xml:space="preserve"> (H167*($D$174-IF(H146&gt;=0.8*H165,$D$175,'Ввод исходных данных'!$D$109))*(1+$D$176)*1*$D$177)/(3.6*24*$D$178)</f>
        <v>15.576965710907482</v>
      </c>
      <c r="I173" s="513">
        <f xml:space="preserve"> (I167*($D$174-IF(I146&gt;=0.8*I165,$D$175,'Ввод исходных данных'!$D$109))*(1+$D$176)*1*$D$177)/(3.6*24*$D$178)</f>
        <v>15.576965710907482</v>
      </c>
      <c r="J173" s="513">
        <f xml:space="preserve"> (J167*($D$174-IF(J146&gt;=0.8*J165,$D$175,'Ввод исходных данных'!$D$109))*(1+$D$176)*1*$D$177)/(3.6*24*$D$178)</f>
        <v>11.470311114395509</v>
      </c>
      <c r="K173" s="513">
        <f xml:space="preserve"> (K167*($D$174-IF(K146&gt;=0.8*K165,$D$175,'Ввод исходных данных'!$D$109))*(1+$D$176)*1*$D$177)/(3.6*24*$D$178)</f>
        <v>11.470311114395509</v>
      </c>
      <c r="L173" s="513">
        <f xml:space="preserve"> (L167*($D$174-IF(L146&gt;=0.8*L165,$D$175,'Ввод исходных данных'!$D$109))*(1+$D$176)*1*$D$177)/(3.6*24*$D$178)</f>
        <v>11.470311114395509</v>
      </c>
      <c r="M173" s="513">
        <f xml:space="preserve"> (M167*($D$174-IF(M146&gt;=0.8*M165,$D$175,'Ввод исходных данных'!$D$109))*(1+$D$176)*1*$D$177)/(3.6*24*$D$178)</f>
        <v>11.470311114395509</v>
      </c>
      <c r="N173" s="513">
        <f xml:space="preserve"> (N167*($D$174-IF(N146&gt;=0.8*N165,$D$175,'Ввод исходных данных'!$D$109))*(1+$D$176)*1*$D$177)/(3.6*24*$D$178)</f>
        <v>11.470311114395509</v>
      </c>
      <c r="O173" s="513">
        <f xml:space="preserve"> (O167*($D$174-IF(O146&gt;=0.8*O165,$D$175,'Ввод исходных данных'!$D$109))*(1+$D$176)*1*$D$177)/(3.6*24*$D$178)</f>
        <v>11.470311114395509</v>
      </c>
      <c r="P173" s="513">
        <f xml:space="preserve"> (P167*($D$174-IF(P146&gt;=0.8*P165,$D$175,'Ввод исходных данных'!$D$109))*(1+$D$176)*1*$D$177)/(3.6*24*$D$178)</f>
        <v>11.470311114395509</v>
      </c>
      <c r="Q173" s="513">
        <f xml:space="preserve"> (Q167*($D$174-IF(Q146&gt;=0.8*Q165,$D$175,'Ввод исходных данных'!$D$109))*(1+$D$176)*1*$D$177)/(3.6*24*$D$178)</f>
        <v>15.576965710907482</v>
      </c>
      <c r="R173" s="513">
        <f xml:space="preserve"> (R167*($D$174-IF(R146&gt;=0.8*R165,$D$175,'Ввод исходных данных'!$D$109))*(1+$D$176)*1*$D$177)/(3.6*24*$D$178)</f>
        <v>15.576965710907482</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23.1</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8.0869282430054099</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10.704374615076322</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12.629467541940191</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0.12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116.45738205703609</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73.901391190808425</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190.35877324784451</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2765.99884607685</v>
      </c>
      <c r="E190" s="74"/>
      <c r="F190" s="74"/>
      <c r="G190" s="508">
        <f>0.024*$D$187*'Расчет базового уровня'!G$147*0.28</f>
        <v>538.5809206287031</v>
      </c>
      <c r="H190" s="508">
        <f>0.024*$D$187*'Расчет базового уровня'!H$147*0.28</f>
        <v>475.50387587038654</v>
      </c>
      <c r="I190" s="508">
        <f>0.024*$D$187*'Расчет базового уровня'!I$147*0.28</f>
        <v>443.96535349122826</v>
      </c>
      <c r="J190" s="508">
        <f>0.024*$D$187*'Расчет базового уровня'!J$147*0.28</f>
        <v>192.55715710649872</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169.39238632676953</v>
      </c>
      <c r="Q190" s="508">
        <f>0.024*$D$187*'Расчет базового уровня'!Q$147*0.28</f>
        <v>389.7316164967948</v>
      </c>
      <c r="R190" s="508">
        <f>0.024*$D$187*'Расчет базового уровня'!R$147*0.28</f>
        <v>494.91219733448389</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1755.2443576066112</v>
      </c>
      <c r="E191" s="74"/>
      <c r="F191" s="74"/>
      <c r="G191" s="508">
        <f>0.024*$D$188*'Расчет базового уровня'!G$147*0.28</f>
        <v>341.77205944569647</v>
      </c>
      <c r="H191" s="508">
        <f>0.024*$D$188*'Расчет базового уровня'!H$147*0.28</f>
        <v>301.74470113223657</v>
      </c>
      <c r="I191" s="508">
        <f>0.024*$D$188*'Расчет базового уровня'!I$147*0.28</f>
        <v>281.73102197550662</v>
      </c>
      <c r="J191" s="508">
        <f>0.024*$D$188*'Расчет базового уровня'!J$147*0.28</f>
        <v>122.19269867278935</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107.49282514824326</v>
      </c>
      <c r="Q191" s="508">
        <f>0.024*$D$188*'Расчет базового уровня'!Q$147*0.28</f>
        <v>247.31543970351188</v>
      </c>
      <c r="R191" s="508">
        <f>0.024*$D$188*'Расчет базового уровня'!R$147*0.28</f>
        <v>314.06081138253194</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4521.2432036834616</v>
      </c>
      <c r="E192" s="74"/>
      <c r="F192" s="74"/>
      <c r="G192" s="508">
        <f>0.024*$D$189*'Расчет базового уровня'!G$147*0.28</f>
        <v>880.35298007439962</v>
      </c>
      <c r="H192" s="508">
        <f>0.024*$D$189*'Расчет базового уровня'!H$147*0.28</f>
        <v>777.24857700262305</v>
      </c>
      <c r="I192" s="508">
        <f>0.024*$D$189*'Расчет базового уровня'!I$147*0.28</f>
        <v>725.69637546673493</v>
      </c>
      <c r="J192" s="508">
        <f>0.024*$D$189*'Расчет базового уровня'!J$147*0.28</f>
        <v>314.74985577928805</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276.8852114750128</v>
      </c>
      <c r="Q192" s="508">
        <f>0.024*$D$189*'Расчет базового уровня'!Q$147*0.28</f>
        <v>637.04705620030677</v>
      </c>
      <c r="R192" s="508">
        <f>0.024*$D$189*'Расчет базового уровня'!R$147*0.28</f>
        <v>808.97300871701589</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Qxl6639Trj0xkARY96xM8i6jLmLmAmhxFLL2CbFis7aV7uMJ2Gq3ieh0IQBta3X45nrKllaUKmRLcZxHwq4v0w==" saltValue="EP68Ky6QQU3ayG03YbTI4g=="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8" t="s">
        <v>1172</v>
      </c>
      <c r="B3" s="1788"/>
      <c r="C3" s="1788"/>
      <c r="D3" s="1788"/>
      <c r="E3" s="1788"/>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92" t="s">
        <v>834</v>
      </c>
      <c r="B4" s="1778" t="s">
        <v>1174</v>
      </c>
      <c r="C4" s="1774" t="s">
        <v>1338</v>
      </c>
      <c r="D4" s="1794" t="s">
        <v>1337</v>
      </c>
      <c r="E4" s="74"/>
      <c r="F4" s="74"/>
      <c r="G4" s="1812"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00000000000006" customHeight="1" x14ac:dyDescent="0.3">
      <c r="A5" s="1808"/>
      <c r="B5" s="1809"/>
      <c r="C5" s="1811"/>
      <c r="D5" s="1810"/>
      <c r="E5" s="74"/>
      <c r="F5" s="74"/>
      <c r="G5" s="1813"/>
      <c r="H5" s="1814"/>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682388.75399999996</v>
      </c>
      <c r="D6" s="305">
        <f>D12+D15+D18</f>
        <v>524057.78117396956</v>
      </c>
      <c r="E6" s="74"/>
      <c r="F6" s="74"/>
      <c r="G6" s="303" t="s">
        <v>1178</v>
      </c>
      <c r="H6" s="304" t="s">
        <v>842</v>
      </c>
      <c r="I6" s="306">
        <f>'Расчет базового уровня'!J6</f>
        <v>101581.43666666666</v>
      </c>
      <c r="J6" s="306">
        <f>J12+J15+J18</f>
        <v>73650.657984034304</v>
      </c>
      <c r="K6" s="306">
        <f>'Расчет базового уровня'!M6</f>
        <v>75135.148666666661</v>
      </c>
      <c r="L6" s="306">
        <f>L12+L15+L18</f>
        <v>62823.304835203933</v>
      </c>
      <c r="M6" s="306">
        <f>'Расчет базового уровня'!P6</f>
        <v>33736.668666666665</v>
      </c>
      <c r="N6" s="306">
        <f>N12+N15+N18</f>
        <v>22417.340380574256</v>
      </c>
      <c r="O6" s="306">
        <f>'Расчет базового уровня'!S6</f>
        <v>21315.551666666663</v>
      </c>
      <c r="P6" s="306">
        <f>P12+P15+P18</f>
        <v>10374.221965766188</v>
      </c>
      <c r="Q6" s="306">
        <f>'Расчет базового уровня'!V6</f>
        <v>24090.74666666667</v>
      </c>
      <c r="R6" s="306">
        <f>R12+R15+R18</f>
        <v>11215.240999937212</v>
      </c>
      <c r="S6" s="306">
        <f>'Расчет базового уровня'!Y6</f>
        <v>23504.317666666666</v>
      </c>
      <c r="T6" s="306">
        <f>T12+T15+T18</f>
        <v>10871.372231122032</v>
      </c>
      <c r="U6" s="306">
        <f>'Расчет базового уровня'!AB6</f>
        <v>13084.833666666667</v>
      </c>
      <c r="V6" s="306">
        <f>V12+V15+V18</f>
        <v>7956.1558117854229</v>
      </c>
      <c r="W6" s="306">
        <f>'Расчет базового уровня'!AE6</f>
        <v>23263.853666666666</v>
      </c>
      <c r="X6" s="306">
        <f>X12+X15+X18</f>
        <v>6430.6534999372116</v>
      </c>
      <c r="Y6" s="306">
        <f>'Расчет базового уровня'!AH6</f>
        <v>54642.479666666666</v>
      </c>
      <c r="Z6" s="306">
        <f>Z12+Z15+Z18</f>
        <v>6923.5822311220318</v>
      </c>
      <c r="AA6" s="306">
        <f>'Расчет базового уровня'!AK6</f>
        <v>105892.67766666667</v>
      </c>
      <c r="AB6" s="306">
        <f>AB12+AB15+AB18</f>
        <v>38113.990809852818</v>
      </c>
      <c r="AC6" s="306">
        <f>'Расчет базового уровня'!AN6</f>
        <v>104121.15166666666</v>
      </c>
      <c r="AD6" s="306">
        <f>AD12+AD15+AD18</f>
        <v>55720.913530468424</v>
      </c>
      <c r="AE6" s="306">
        <f>'Расчет базового уровня'!AQ6</f>
        <v>102019.88766666666</v>
      </c>
      <c r="AF6" s="306">
        <f>AF12+AF15+AF18</f>
        <v>59398.950331069958</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158330.9728260304</v>
      </c>
      <c r="E7" s="74"/>
      <c r="F7" s="74"/>
      <c r="G7" s="307" t="s">
        <v>1339</v>
      </c>
      <c r="H7" s="304" t="s">
        <v>842</v>
      </c>
      <c r="I7" s="308"/>
      <c r="J7" s="308">
        <f>I6-J6</f>
        <v>27930.778682632357</v>
      </c>
      <c r="K7" s="308"/>
      <c r="L7" s="308">
        <f>K6-L6</f>
        <v>12311.843831462727</v>
      </c>
      <c r="M7" s="308"/>
      <c r="N7" s="308">
        <f>M6-N6</f>
        <v>11319.328286092408</v>
      </c>
      <c r="O7" s="308"/>
      <c r="P7" s="308">
        <f>O6-P6</f>
        <v>10941.329700900475</v>
      </c>
      <c r="Q7" s="308"/>
      <c r="R7" s="308">
        <f>Q6-R6</f>
        <v>12875.505666729458</v>
      </c>
      <c r="S7" s="308"/>
      <c r="T7" s="308">
        <f>S6-T6</f>
        <v>12632.945435544634</v>
      </c>
      <c r="U7" s="308"/>
      <c r="V7" s="308">
        <f>U6-V6</f>
        <v>5128.6778548812445</v>
      </c>
      <c r="W7" s="308"/>
      <c r="X7" s="308">
        <f>W6-X6</f>
        <v>16833.200166729453</v>
      </c>
      <c r="Y7" s="308"/>
      <c r="Z7" s="308">
        <f>Y6-Z6</f>
        <v>47718.897435544633</v>
      </c>
      <c r="AA7" s="308"/>
      <c r="AB7" s="308">
        <f>AA6-AB6</f>
        <v>67778.686856813845</v>
      </c>
      <c r="AC7" s="308"/>
      <c r="AD7" s="308">
        <f>AC6-AD6</f>
        <v>48400.238136198233</v>
      </c>
      <c r="AE7" s="308"/>
      <c r="AF7" s="308">
        <f>AE6-AF6</f>
        <v>42620.937335596704</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0.2320245928701668</v>
      </c>
      <c r="E8" s="74"/>
      <c r="F8" s="74"/>
      <c r="G8" s="307" t="s">
        <v>874</v>
      </c>
      <c r="H8" s="309" t="s">
        <v>1181</v>
      </c>
      <c r="I8" s="310"/>
      <c r="J8" s="310">
        <f>IF(I6=0,0,J7/I6)</f>
        <v>0.27495947684108385</v>
      </c>
      <c r="K8" s="310"/>
      <c r="L8" s="310">
        <f>IF(K6=0,0,L7/K6)</f>
        <v>0.1638626401883306</v>
      </c>
      <c r="M8" s="310"/>
      <c r="N8" s="310">
        <f>IF(M6=0,0,N7/M6)</f>
        <v>0.33552003601577918</v>
      </c>
      <c r="O8" s="310"/>
      <c r="P8" s="310">
        <f>IF(O6=0,0,P7/O6)</f>
        <v>0.51330267553011855</v>
      </c>
      <c r="Q8" s="310"/>
      <c r="R8" s="310">
        <f>IF(Q6=0,0,R7/Q6)</f>
        <v>0.5344585555973963</v>
      </c>
      <c r="S8" s="310"/>
      <c r="T8" s="310">
        <f>IF(S6=0,0,T7/S6)</f>
        <v>0.53747339593952193</v>
      </c>
      <c r="U8" s="310"/>
      <c r="V8" s="310">
        <f>IF(U6=0,0,V7/U6)</f>
        <v>0.3919559075440478</v>
      </c>
      <c r="W8" s="310"/>
      <c r="X8" s="310">
        <f>IF(W6=0,0,X7/W6)</f>
        <v>0.72357746089370834</v>
      </c>
      <c r="Y8" s="310"/>
      <c r="Z8" s="310">
        <f>IF(Y6=0,0,Z7/Y6)</f>
        <v>0.87329304465394531</v>
      </c>
      <c r="AA8" s="310"/>
      <c r="AB8" s="310">
        <f>IF(AA6=0,0,AB7/AA6)</f>
        <v>0.64006962851737859</v>
      </c>
      <c r="AC8" s="310"/>
      <c r="AD8" s="310">
        <f>IF(AC6=0,0,AD7/AC6)</f>
        <v>0.4648453975148748</v>
      </c>
      <c r="AE8" s="310"/>
      <c r="AF8" s="310">
        <f>IF(AE6=0,0,AF7/AE6)</f>
        <v>0.41777087105656951</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679143.15399999998</v>
      </c>
      <c r="D9" s="305">
        <f>D12+D15</f>
        <v>519876.23154790589</v>
      </c>
      <c r="E9" s="74"/>
      <c r="F9" s="74"/>
      <c r="G9" s="311" t="s">
        <v>1182</v>
      </c>
      <c r="H9" s="304" t="s">
        <v>842</v>
      </c>
      <c r="I9" s="306">
        <f>'Расчет базового уровня'!J9</f>
        <v>101308.93</v>
      </c>
      <c r="J9" s="306">
        <f>J12+J15</f>
        <v>73246.619326164728</v>
      </c>
      <c r="K9" s="306">
        <f>'Расчет базового уровня'!M9</f>
        <v>74866.962</v>
      </c>
      <c r="L9" s="306">
        <f>L12+L15</f>
        <v>62436.315079708831</v>
      </c>
      <c r="M9" s="306">
        <f>'Расчет базового уровня'!P9</f>
        <v>33464.161999999997</v>
      </c>
      <c r="N9" s="306">
        <f>N12+N15</f>
        <v>22013.30172270468</v>
      </c>
      <c r="O9" s="306">
        <f>'Расчет базового уровня'!S9</f>
        <v>21044.484999999997</v>
      </c>
      <c r="P9" s="306">
        <f>P12+P15</f>
        <v>10034.593869691427</v>
      </c>
      <c r="Q9" s="306">
        <f>'Расчет базового уровня'!V9</f>
        <v>23818.240000000002</v>
      </c>
      <c r="R9" s="306">
        <f>R12+R15</f>
        <v>10925.722500000002</v>
      </c>
      <c r="S9" s="306">
        <f>'Расчет базового уровня'!Y9</f>
        <v>23233.251</v>
      </c>
      <c r="T9" s="306">
        <f>T12+T15</f>
        <v>10583.842500000001</v>
      </c>
      <c r="U9" s="306">
        <f>'Расчет базового уровня'!AB9</f>
        <v>12826.727000000001</v>
      </c>
      <c r="V9" s="306">
        <f>V12+V15</f>
        <v>7686.5250000000005</v>
      </c>
      <c r="W9" s="306">
        <f>'Расчет базового уровня'!AE9</f>
        <v>22991.346999999998</v>
      </c>
      <c r="X9" s="306">
        <f>X12+X15</f>
        <v>6141.1350000000011</v>
      </c>
      <c r="Y9" s="306">
        <f>'Расчет базового уровня'!AH9</f>
        <v>54371.413</v>
      </c>
      <c r="Z9" s="306">
        <f>Z12+Z15</f>
        <v>6636.0524999999998</v>
      </c>
      <c r="AA9" s="306">
        <f>'Расчет базового уровня'!AK9</f>
        <v>105620.171</v>
      </c>
      <c r="AB9" s="306">
        <f>AB12+AB15</f>
        <v>37737.641701661058</v>
      </c>
      <c r="AC9" s="306">
        <f>'Расчет базового уровня'!AN9</f>
        <v>103850.08499999999</v>
      </c>
      <c r="AD9" s="306">
        <f>AD12+AD15</f>
        <v>55322.557840057008</v>
      </c>
      <c r="AE9" s="306">
        <f>'Расчет базового уровня'!AQ9</f>
        <v>101747.38099999999</v>
      </c>
      <c r="AF9" s="306">
        <f>AF12+AF15</f>
        <v>58994.911673200382</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159266.92245209409</v>
      </c>
      <c r="E10" s="74"/>
      <c r="F10" s="74"/>
      <c r="G10" s="307" t="s">
        <v>1339</v>
      </c>
      <c r="H10" s="304" t="s">
        <v>842</v>
      </c>
      <c r="I10" s="308"/>
      <c r="J10" s="308">
        <f>I9-J9</f>
        <v>28062.310673835265</v>
      </c>
      <c r="K10" s="308"/>
      <c r="L10" s="308">
        <f>K9-L9</f>
        <v>12430.646920291168</v>
      </c>
      <c r="M10" s="308"/>
      <c r="N10" s="308">
        <f>M9-N9</f>
        <v>11450.860277295316</v>
      </c>
      <c r="O10" s="308"/>
      <c r="P10" s="308">
        <f>O9-P9</f>
        <v>11009.89113030857</v>
      </c>
      <c r="Q10" s="308"/>
      <c r="R10" s="308">
        <f>Q9-R9</f>
        <v>12892.5175</v>
      </c>
      <c r="S10" s="308"/>
      <c r="T10" s="308">
        <f>S9-T9</f>
        <v>12649.4085</v>
      </c>
      <c r="U10" s="308"/>
      <c r="V10" s="308">
        <f>U9-V9</f>
        <v>5140.2020000000002</v>
      </c>
      <c r="W10" s="308"/>
      <c r="X10" s="308">
        <f>W9-X9</f>
        <v>16850.211999999996</v>
      </c>
      <c r="Y10" s="308"/>
      <c r="Z10" s="308">
        <f>Y9-Z9</f>
        <v>47735.360500000003</v>
      </c>
      <c r="AA10" s="308"/>
      <c r="AB10" s="308">
        <f>AA9-AB9</f>
        <v>67882.529298338952</v>
      </c>
      <c r="AC10" s="308"/>
      <c r="AD10" s="308">
        <f>AC9-AD9</f>
        <v>48527.527159942983</v>
      </c>
      <c r="AE10" s="308"/>
      <c r="AF10" s="308">
        <f>AE9-AF9</f>
        <v>42752.469326799612</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0.23451156286277472</v>
      </c>
      <c r="E11" s="74"/>
      <c r="F11" s="74"/>
      <c r="G11" s="307" t="s">
        <v>874</v>
      </c>
      <c r="H11" s="309" t="s">
        <v>1181</v>
      </c>
      <c r="I11" s="310"/>
      <c r="J11" s="310">
        <f>IF(I9=0,0,J10/I9)</f>
        <v>0.27699740461018851</v>
      </c>
      <c r="K11" s="310"/>
      <c r="L11" s="310">
        <f>IF(K9=0,0,L10/K9)</f>
        <v>0.16603648108883018</v>
      </c>
      <c r="M11" s="310"/>
      <c r="N11" s="310">
        <f>IF(M9=0,0,N10/M9)</f>
        <v>0.34218278877849434</v>
      </c>
      <c r="O11" s="310"/>
      <c r="P11" s="310">
        <f>IF(O9=0,0,P10/O9)</f>
        <v>0.52317227674179578</v>
      </c>
      <c r="Q11" s="310"/>
      <c r="R11" s="310">
        <f>IF(Q9=0,0,R10/Q9)</f>
        <v>0.54128758044255154</v>
      </c>
      <c r="S11" s="310"/>
      <c r="T11" s="310">
        <f>IF(S9=0,0,T10/S9)</f>
        <v>0.54445279741522179</v>
      </c>
      <c r="U11" s="310"/>
      <c r="V11" s="310">
        <f>IF(U9=0,0,V10/U9)</f>
        <v>0.40074151418362608</v>
      </c>
      <c r="W11" s="310"/>
      <c r="X11" s="310">
        <f>IF(W9=0,0,X10/W9)</f>
        <v>0.73289364037696436</v>
      </c>
      <c r="Y11" s="310"/>
      <c r="Z11" s="310">
        <f>IF(Y9=0,0,Z10/Y9)</f>
        <v>0.87794960377432163</v>
      </c>
      <c r="AA11" s="310"/>
      <c r="AB11" s="310">
        <f>IF(AA9=0,0,AB10/AA9)</f>
        <v>0.64270421696570579</v>
      </c>
      <c r="AC11" s="310"/>
      <c r="AD11" s="310">
        <f>IF(AC9=0,0,AD10/AC9)</f>
        <v>0.46728442408056753</v>
      </c>
      <c r="AE11" s="310"/>
      <c r="AF11" s="310">
        <f>IF(AE9=0,0,AF10/AE9)</f>
        <v>0.4201825040272989</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447529.73102783097</v>
      </c>
      <c r="D12" s="305">
        <f>D35</f>
        <v>307563.92715675093</v>
      </c>
      <c r="E12" s="74"/>
      <c r="F12" s="74"/>
      <c r="G12" s="312" t="s">
        <v>1185</v>
      </c>
      <c r="H12" s="304" t="s">
        <v>842</v>
      </c>
      <c r="I12" s="306">
        <f>'Расчет базового уровня'!J12</f>
        <v>82584.397400000002</v>
      </c>
      <c r="J12" s="306">
        <f>J35</f>
        <v>64797.794326164731</v>
      </c>
      <c r="K12" s="306">
        <f>'Расчет базового уровня'!M12</f>
        <v>55484.613339999996</v>
      </c>
      <c r="L12" s="306">
        <f>L35</f>
        <v>53382.590913042164</v>
      </c>
      <c r="M12" s="306">
        <f>'Расчет базового уровня'!P12</f>
        <v>13989.703740000001</v>
      </c>
      <c r="N12" s="306">
        <f>N35</f>
        <v>12874.877556038013</v>
      </c>
      <c r="O12" s="306">
        <f>'Расчет базового уровня'!S12</f>
        <v>-2845.8610000000031</v>
      </c>
      <c r="P12" s="306">
        <f>P35</f>
        <v>-3164.4894636419067</v>
      </c>
      <c r="Q12" s="306">
        <f>'Расчет базового уровня'!V12</f>
        <v>2400.1296199999992</v>
      </c>
      <c r="R12" s="306">
        <f>R35</f>
        <v>0</v>
      </c>
      <c r="S12" s="306">
        <f>'Расчет базового уровня'!Y12</f>
        <v>2186.9284599999969</v>
      </c>
      <c r="T12" s="306">
        <f>T35</f>
        <v>0</v>
      </c>
      <c r="U12" s="306">
        <f>'Расчет базового уровня'!AB12</f>
        <v>-5068.8191999999999</v>
      </c>
      <c r="V12" s="306">
        <f>V35</f>
        <v>0</v>
      </c>
      <c r="W12" s="306">
        <f>'Расчет базового уровня'!AE12</f>
        <v>6776.382319999997</v>
      </c>
      <c r="X12" s="306">
        <f>X35</f>
        <v>0</v>
      </c>
      <c r="Y12" s="306">
        <f>'Расчет базового уровня'!AH12</f>
        <v>37618.235180000003</v>
      </c>
      <c r="Z12" s="306">
        <f>Z35</f>
        <v>0</v>
      </c>
      <c r="AA12" s="306">
        <f>'Расчет базового уровня'!AK12</f>
        <v>87425.26860000001</v>
      </c>
      <c r="AB12" s="306">
        <f>AB35</f>
        <v>29775.841701661055</v>
      </c>
      <c r="AC12" s="306">
        <f>'Расчет базового уровня'!AN12</f>
        <v>83383.145799999998</v>
      </c>
      <c r="AD12" s="306">
        <f>AD35</f>
        <v>45271.491173390343</v>
      </c>
      <c r="AE12" s="306">
        <f>'Расчет базового уровня'!AQ12</f>
        <v>82994.447939999998</v>
      </c>
      <c r="AF12" s="306">
        <f>AF35</f>
        <v>50519.970839867048</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139965.80387108005</v>
      </c>
      <c r="E13" s="74"/>
      <c r="F13" s="74"/>
      <c r="G13" s="307" t="s">
        <v>1339</v>
      </c>
      <c r="H13" s="304" t="s">
        <v>842</v>
      </c>
      <c r="I13" s="308"/>
      <c r="J13" s="308">
        <f>I12-J12</f>
        <v>17786.603073835271</v>
      </c>
      <c r="K13" s="308"/>
      <c r="L13" s="308">
        <f>K12-L12</f>
        <v>2102.0224269578321</v>
      </c>
      <c r="M13" s="308"/>
      <c r="N13" s="308">
        <f>M12-N12</f>
        <v>1114.8261839619881</v>
      </c>
      <c r="O13" s="308"/>
      <c r="P13" s="308">
        <f>O12-P12</f>
        <v>318.62846364190364</v>
      </c>
      <c r="Q13" s="308"/>
      <c r="R13" s="308">
        <f>Q12-R12</f>
        <v>2400.1296199999992</v>
      </c>
      <c r="S13" s="308"/>
      <c r="T13" s="308">
        <f>S12-T12</f>
        <v>2186.9284599999969</v>
      </c>
      <c r="U13" s="308"/>
      <c r="V13" s="308">
        <f>U12-V12</f>
        <v>-5068.8191999999999</v>
      </c>
      <c r="W13" s="308"/>
      <c r="X13" s="308">
        <f>W12-X12</f>
        <v>6776.382319999997</v>
      </c>
      <c r="Y13" s="308"/>
      <c r="Z13" s="308">
        <f>Y12-Z12</f>
        <v>37618.235180000003</v>
      </c>
      <c r="AA13" s="308"/>
      <c r="AB13" s="308">
        <f>AA12-AB12</f>
        <v>57649.426898338956</v>
      </c>
      <c r="AC13" s="308"/>
      <c r="AD13" s="308">
        <f>AC12-AD12</f>
        <v>38111.654626609656</v>
      </c>
      <c r="AE13" s="308"/>
      <c r="AF13" s="308">
        <f>AE12-AF12</f>
        <v>32474.47710013295</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0.3127519674494561</v>
      </c>
      <c r="E14" s="74"/>
      <c r="F14" s="74"/>
      <c r="G14" s="307" t="s">
        <v>874</v>
      </c>
      <c r="H14" s="309" t="s">
        <v>1181</v>
      </c>
      <c r="I14" s="310"/>
      <c r="J14" s="310">
        <f>IF(I12=0,0,J13/I12)</f>
        <v>0.21537486055247612</v>
      </c>
      <c r="K14" s="310"/>
      <c r="L14" s="310">
        <f>IF(K12=0,0,L13/K12)</f>
        <v>3.7884781030679743E-2</v>
      </c>
      <c r="M14" s="310"/>
      <c r="N14" s="310">
        <f>IF(M12=0,0,N13/M12)</f>
        <v>7.9689048794823733E-2</v>
      </c>
      <c r="O14" s="310"/>
      <c r="P14" s="310">
        <f>IF(O12=0,0,P13/O12)</f>
        <v>-0.11196206126789161</v>
      </c>
      <c r="Q14" s="310"/>
      <c r="R14" s="310">
        <f>IF(Q12=0,0,R13/Q12)</f>
        <v>1</v>
      </c>
      <c r="S14" s="310"/>
      <c r="T14" s="310">
        <f>IF(S12=0,0,T13/S12)</f>
        <v>1</v>
      </c>
      <c r="U14" s="310"/>
      <c r="V14" s="310">
        <f>IF(U12=0,0,V13/U12)</f>
        <v>1</v>
      </c>
      <c r="W14" s="310"/>
      <c r="X14" s="310">
        <f>IF(W12=0,0,X13/W12)</f>
        <v>1</v>
      </c>
      <c r="Y14" s="310"/>
      <c r="Z14" s="310">
        <f>IF(Y12=0,0,Z13/Y12)</f>
        <v>1</v>
      </c>
      <c r="AA14" s="310"/>
      <c r="AB14" s="310">
        <f>IF(AA12=0,0,AB13/AA12)</f>
        <v>0.65941378072402002</v>
      </c>
      <c r="AC14" s="310"/>
      <c r="AD14" s="310">
        <f>IF(AC12=0,0,AD13/AC12)</f>
        <v>0.45706664411562242</v>
      </c>
      <c r="AE14" s="310"/>
      <c r="AF14" s="310">
        <f>IF(AE12=0,0,AF13/AE12)</f>
        <v>0.39128493418752597</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231613.42297216901</v>
      </c>
      <c r="D15" s="306">
        <f>D85</f>
        <v>212312.30439115496</v>
      </c>
      <c r="E15" s="74"/>
      <c r="F15" s="74"/>
      <c r="G15" s="312" t="s">
        <v>999</v>
      </c>
      <c r="H15" s="304" t="s">
        <v>842</v>
      </c>
      <c r="I15" s="306">
        <f>'Расчет базового уровня'!J15</f>
        <v>18724.532599999999</v>
      </c>
      <c r="J15" s="306">
        <f>J85</f>
        <v>8448.8250000000007</v>
      </c>
      <c r="K15" s="306">
        <f>'Расчет базового уровня'!M15</f>
        <v>19382.34866</v>
      </c>
      <c r="L15" s="306">
        <f>L85</f>
        <v>9053.7241666666669</v>
      </c>
      <c r="M15" s="306">
        <f>'Расчет базового уровня'!P15</f>
        <v>19474.458259999999</v>
      </c>
      <c r="N15" s="306">
        <f>N85</f>
        <v>9138.4241666666676</v>
      </c>
      <c r="O15" s="306">
        <f>'Расчет базового уровня'!S15</f>
        <v>23890.346000000001</v>
      </c>
      <c r="P15" s="306">
        <f>P85</f>
        <v>13199.083333333334</v>
      </c>
      <c r="Q15" s="306">
        <f>'Расчет базового уровня'!V15</f>
        <v>21418.110380000002</v>
      </c>
      <c r="R15" s="306">
        <f>R85</f>
        <v>10925.722500000002</v>
      </c>
      <c r="S15" s="306">
        <f>'Расчет базового уровня'!Y15</f>
        <v>21046.322540000005</v>
      </c>
      <c r="T15" s="306">
        <f>T85</f>
        <v>10583.842500000001</v>
      </c>
      <c r="U15" s="306">
        <f>'Расчет базового уровня'!AB15</f>
        <v>17895.546200000001</v>
      </c>
      <c r="V15" s="306">
        <f>V85</f>
        <v>7686.5250000000005</v>
      </c>
      <c r="W15" s="306">
        <f>'Расчет базового уровня'!AE15</f>
        <v>16214.964680000001</v>
      </c>
      <c r="X15" s="306">
        <f>X85</f>
        <v>6141.1350000000011</v>
      </c>
      <c r="Y15" s="306">
        <f>'Расчет базового уровня'!AH15</f>
        <v>16753.177820000001</v>
      </c>
      <c r="Z15" s="306">
        <f>Z85</f>
        <v>6636.0524999999998</v>
      </c>
      <c r="AA15" s="306">
        <f>'Расчет базового уровня'!AK15</f>
        <v>18194.902399999999</v>
      </c>
      <c r="AB15" s="306">
        <f>AB85</f>
        <v>7961.8000000000011</v>
      </c>
      <c r="AC15" s="306">
        <f>'Расчет базового уровня'!AN15</f>
        <v>20466.939200000001</v>
      </c>
      <c r="AD15" s="306">
        <f>AD85</f>
        <v>10051.066666666668</v>
      </c>
      <c r="AE15" s="306">
        <f>'Расчет базового уровня'!AQ15</f>
        <v>18752.933059999999</v>
      </c>
      <c r="AF15" s="306">
        <f>AF85</f>
        <v>8474.940833333334</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19301.118581014045</v>
      </c>
      <c r="E16" s="74"/>
      <c r="F16" s="74"/>
      <c r="G16" s="307" t="s">
        <v>1339</v>
      </c>
      <c r="H16" s="304" t="s">
        <v>842</v>
      </c>
      <c r="I16" s="308"/>
      <c r="J16" s="308">
        <f>I15-J15</f>
        <v>10275.707599999998</v>
      </c>
      <c r="K16" s="308"/>
      <c r="L16" s="308">
        <f>K15-L15</f>
        <v>10328.624493333333</v>
      </c>
      <c r="M16" s="308"/>
      <c r="N16" s="308">
        <f>M15-N15</f>
        <v>10336.034093333332</v>
      </c>
      <c r="O16" s="308"/>
      <c r="P16" s="308">
        <f>O15-P15</f>
        <v>10691.262666666667</v>
      </c>
      <c r="Q16" s="308"/>
      <c r="R16" s="308">
        <f>Q15-R15</f>
        <v>10492.38788</v>
      </c>
      <c r="S16" s="308"/>
      <c r="T16" s="308">
        <f>S15-T15</f>
        <v>10462.480040000004</v>
      </c>
      <c r="U16" s="308"/>
      <c r="V16" s="308">
        <f>U15-V15</f>
        <v>10209.021199999999</v>
      </c>
      <c r="W16" s="308"/>
      <c r="X16" s="308">
        <f>W15-X15</f>
        <v>10073.829679999999</v>
      </c>
      <c r="Y16" s="308"/>
      <c r="Z16" s="308">
        <f>Y15-Z15</f>
        <v>10117.125320000001</v>
      </c>
      <c r="AA16" s="308"/>
      <c r="AB16" s="308">
        <f>AA15-AB15</f>
        <v>10233.102399999998</v>
      </c>
      <c r="AC16" s="308"/>
      <c r="AD16" s="308">
        <f>AC15-AD15</f>
        <v>10415.872533333333</v>
      </c>
      <c r="AE16" s="308"/>
      <c r="AF16" s="308">
        <f>AE15-AF15</f>
        <v>10277.992226666665</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8.3333333333333162E-2</v>
      </c>
      <c r="E17" s="74"/>
      <c r="F17" s="74"/>
      <c r="G17" s="307" t="s">
        <v>874</v>
      </c>
      <c r="H17" s="309" t="s">
        <v>1181</v>
      </c>
      <c r="I17" s="310"/>
      <c r="J17" s="310">
        <f>IF(I15=0,0,J16/I15)</f>
        <v>0.54878312957194986</v>
      </c>
      <c r="K17" s="310"/>
      <c r="L17" s="310">
        <f>IF(K15=0,0,L16/K15)</f>
        <v>0.53288817957592827</v>
      </c>
      <c r="M17" s="310"/>
      <c r="N17" s="310">
        <f>IF(M15=0,0,N16/M15)</f>
        <v>0.53074822186778159</v>
      </c>
      <c r="O17" s="310"/>
      <c r="P17" s="310">
        <f>IF(O15=0,0,P16/O15)</f>
        <v>0.44751393163860692</v>
      </c>
      <c r="Q17" s="310"/>
      <c r="R17" s="310">
        <f>IF(Q15=0,0,R16/Q15)</f>
        <v>0.48988392037598599</v>
      </c>
      <c r="S17" s="310"/>
      <c r="T17" s="310">
        <f>IF(S15=0,0,T16/S15)</f>
        <v>0.49711677753276517</v>
      </c>
      <c r="U17" s="310"/>
      <c r="V17" s="310">
        <f>IF(U15=0,0,V16/U15)</f>
        <v>0.5704783238189175</v>
      </c>
      <c r="W17" s="310"/>
      <c r="X17" s="310">
        <f>IF(W15=0,0,X16/W15)</f>
        <v>0.62126744515363308</v>
      </c>
      <c r="Y17" s="310"/>
      <c r="Z17" s="310">
        <f>IF(Y15=0,0,Z16/Y15)</f>
        <v>0.603892910867462</v>
      </c>
      <c r="AA17" s="310"/>
      <c r="AB17" s="310">
        <f>IF(AA15=0,0,AB16/AA15)</f>
        <v>0.56241589952139559</v>
      </c>
      <c r="AC17" s="310"/>
      <c r="AD17" s="310">
        <f>IF(AC15=0,0,AD16/AC15)</f>
        <v>0.50891207676687356</v>
      </c>
      <c r="AE17" s="310"/>
      <c r="AF17" s="310">
        <f>IF(AE15=0,0,AF16/AE15)</f>
        <v>0.54807385030289579</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3245.599999999999</v>
      </c>
      <c r="D18" s="305">
        <f>D100</f>
        <v>4181.5496260636455</v>
      </c>
      <c r="E18" s="74"/>
      <c r="F18" s="74"/>
      <c r="G18" s="303" t="s">
        <v>1188</v>
      </c>
      <c r="H18" s="304" t="s">
        <v>842</v>
      </c>
      <c r="I18" s="306">
        <f>'Расчет базового уровня'!J18</f>
        <v>272.50666666666666</v>
      </c>
      <c r="J18" s="306">
        <f>J100</f>
        <v>404.03865786957692</v>
      </c>
      <c r="K18" s="306">
        <f>'Расчет базового уровня'!M18</f>
        <v>268.18666666666667</v>
      </c>
      <c r="L18" s="306">
        <f>L100</f>
        <v>386.98975549510175</v>
      </c>
      <c r="M18" s="306">
        <f>'Расчет базового уровня'!P18</f>
        <v>272.50666666666666</v>
      </c>
      <c r="N18" s="306">
        <f>N100</f>
        <v>404.03865786957692</v>
      </c>
      <c r="O18" s="306">
        <f>'Расчет базового уровня'!S18</f>
        <v>271.06666666666666</v>
      </c>
      <c r="P18" s="306">
        <f>P100</f>
        <v>339.62809607476038</v>
      </c>
      <c r="Q18" s="306">
        <f>'Расчет базового уровня'!V18</f>
        <v>272.50666666666666</v>
      </c>
      <c r="R18" s="306">
        <f>R100</f>
        <v>289.51849993721044</v>
      </c>
      <c r="S18" s="306">
        <f>'Расчет базового уровня'!Y18</f>
        <v>271.06666666666666</v>
      </c>
      <c r="T18" s="306">
        <f>T100</f>
        <v>287.52973112203165</v>
      </c>
      <c r="U18" s="306">
        <f>'Расчет базового уровня'!AB18</f>
        <v>258.10666666666663</v>
      </c>
      <c r="V18" s="306">
        <f>V100</f>
        <v>269.63081178542211</v>
      </c>
      <c r="W18" s="306">
        <f>'Расчет базового уровня'!AE18</f>
        <v>272.50666666666666</v>
      </c>
      <c r="X18" s="306">
        <f>X100</f>
        <v>289.51849993721044</v>
      </c>
      <c r="Y18" s="306">
        <f>'Расчет базового уровня'!AH18</f>
        <v>271.06666666666666</v>
      </c>
      <c r="Z18" s="306">
        <f>Z100</f>
        <v>287.52973112203165</v>
      </c>
      <c r="AA18" s="306">
        <f>'Расчет базового уровня'!AK18</f>
        <v>272.50666666666666</v>
      </c>
      <c r="AB18" s="306">
        <f>AB100</f>
        <v>376.34910819175832</v>
      </c>
      <c r="AC18" s="306">
        <f>'Расчет базового уровня'!AN18</f>
        <v>271.06666666666666</v>
      </c>
      <c r="AD18" s="306">
        <f>AD100</f>
        <v>398.35569041141855</v>
      </c>
      <c r="AE18" s="306">
        <f>'Расчет базового уровня'!AQ18</f>
        <v>272.50666666666666</v>
      </c>
      <c r="AF18" s="306">
        <f>AF100</f>
        <v>404.03865786957692</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-935.94962606364652</v>
      </c>
      <c r="E19" s="74"/>
      <c r="F19" s="74"/>
      <c r="G19" s="307" t="s">
        <v>1339</v>
      </c>
      <c r="H19" s="304" t="s">
        <v>842</v>
      </c>
      <c r="I19" s="308"/>
      <c r="J19" s="308">
        <f>I18-J18</f>
        <v>-131.53199120291026</v>
      </c>
      <c r="K19" s="308"/>
      <c r="L19" s="308">
        <f>K18-L18</f>
        <v>-118.80308882843508</v>
      </c>
      <c r="M19" s="308"/>
      <c r="N19" s="308">
        <f>M18-N18</f>
        <v>-131.53199120291026</v>
      </c>
      <c r="O19" s="308"/>
      <c r="P19" s="308">
        <f>O18-P18</f>
        <v>-68.561429408093716</v>
      </c>
      <c r="Q19" s="308"/>
      <c r="R19" s="308">
        <f>Q18-R18</f>
        <v>-17.011833270543775</v>
      </c>
      <c r="S19" s="308"/>
      <c r="T19" s="308">
        <f>S18-T18</f>
        <v>-16.463064455364986</v>
      </c>
      <c r="U19" s="308"/>
      <c r="V19" s="308">
        <f>U18-V18</f>
        <v>-11.524145118755484</v>
      </c>
      <c r="W19" s="308"/>
      <c r="X19" s="308">
        <f>W18-X18</f>
        <v>-17.011833270543775</v>
      </c>
      <c r="Y19" s="308"/>
      <c r="Z19" s="308">
        <f>Y18-Z18</f>
        <v>-16.463064455364986</v>
      </c>
      <c r="AA19" s="308"/>
      <c r="AB19" s="308">
        <f>AA18-AB18</f>
        <v>-103.84244152509166</v>
      </c>
      <c r="AC19" s="308"/>
      <c r="AD19" s="308">
        <f>AC18-AD18</f>
        <v>-127.28902374475189</v>
      </c>
      <c r="AE19" s="308"/>
      <c r="AF19" s="308">
        <f>AE18-AF18</f>
        <v>-131.53199120291026</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-0.28837491559762352</v>
      </c>
      <c r="E20" s="74"/>
      <c r="F20" s="74"/>
      <c r="G20" s="307" t="s">
        <v>874</v>
      </c>
      <c r="H20" s="309" t="s">
        <v>1181</v>
      </c>
      <c r="I20" s="310"/>
      <c r="J20" s="310">
        <f>IF(I18=0,0,J19/I18)</f>
        <v>-0.48267439770125597</v>
      </c>
      <c r="K20" s="310"/>
      <c r="L20" s="310">
        <f>IF(K18=0,0,L19/K18)</f>
        <v>-0.44298655971624895</v>
      </c>
      <c r="M20" s="310"/>
      <c r="N20" s="310">
        <f>IF(M18=0,0,N19/M18)</f>
        <v>-0.48267439770125597</v>
      </c>
      <c r="O20" s="310"/>
      <c r="P20" s="310">
        <f>IF(O18=0,0,P19/O18)</f>
        <v>-0.25293198256797977</v>
      </c>
      <c r="Q20" s="310"/>
      <c r="R20" s="310">
        <f>IF(Q18=0,0,R19/Q18)</f>
        <v>-6.2427218675544731E-2</v>
      </c>
      <c r="S20" s="310"/>
      <c r="T20" s="310">
        <f>IF(S18=0,0,T19/S18)</f>
        <v>-6.0734374527908211E-2</v>
      </c>
      <c r="U20" s="310"/>
      <c r="V20" s="310">
        <f>IF(U18=0,0,V19/U18)</f>
        <v>-4.4648769702792718E-2</v>
      </c>
      <c r="W20" s="310"/>
      <c r="X20" s="310">
        <f>IF(W18=0,0,X19/W18)</f>
        <v>-6.2427218675544731E-2</v>
      </c>
      <c r="Y20" s="310"/>
      <c r="Z20" s="310">
        <f>IF(Y18=0,0,Z19/Y18)</f>
        <v>-6.0734374527908211E-2</v>
      </c>
      <c r="AA20" s="310"/>
      <c r="AB20" s="310">
        <f>IF(AA18=0,0,AB19/AA18)</f>
        <v>-0.38106385724541902</v>
      </c>
      <c r="AC20" s="310"/>
      <c r="AD20" s="310">
        <f>IF(AC18=0,0,AD19/AC18)</f>
        <v>-0.46958567539874035</v>
      </c>
      <c r="AE20" s="310"/>
      <c r="AF20" s="310">
        <f>IF(AE18=0,0,AF19/AE18)</f>
        <v>-0.48267439770125597</v>
      </c>
      <c r="AG20" s="74"/>
      <c r="AH20" s="74"/>
      <c r="AI20" s="74"/>
      <c r="AJ20" s="74"/>
      <c r="AK20" s="74"/>
      <c r="AL20" s="74"/>
      <c r="AM20" s="74"/>
      <c r="AN20" s="74"/>
      <c r="AO20" s="74"/>
      <c r="AP20" s="74"/>
      <c r="AQ20" s="74"/>
      <c r="AR20" s="74"/>
      <c r="AS20" s="74"/>
      <c r="AT20" s="74"/>
      <c r="AU20" s="74"/>
    </row>
    <row r="21" spans="1:47" ht="5.25" customHeight="1" x14ac:dyDescent="0.3">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3">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286.80231748833688</v>
      </c>
      <c r="D23" s="305">
        <f>D6/('Ввод исходных данных'!$G$45+'Ввод исходных данных'!$D$23)</f>
        <v>220.25712653888519</v>
      </c>
      <c r="E23" s="74"/>
      <c r="F23" s="74"/>
      <c r="G23" s="315" t="s">
        <v>1189</v>
      </c>
      <c r="H23" s="304" t="s">
        <v>1190</v>
      </c>
      <c r="I23" s="306">
        <f>'Расчет базового уровня'!J23</f>
        <v>0</v>
      </c>
      <c r="J23" s="306">
        <f>J6/'Ввод исходных данных'!$G$44</f>
        <v>27.79270112605068</v>
      </c>
      <c r="K23" s="306">
        <f>'Расчет базового уровня'!M23</f>
        <v>0</v>
      </c>
      <c r="L23" s="306">
        <f>L6/'Ввод исходных данных'!$G$44</f>
        <v>23.706907484982615</v>
      </c>
      <c r="M23" s="306">
        <f>'Расчет базового уровня'!P23</f>
        <v>0</v>
      </c>
      <c r="N23" s="306">
        <f>N6/'Ввод исходных данных'!$G$44</f>
        <v>8.459373728518587</v>
      </c>
      <c r="O23" s="306">
        <f>'Расчет базового уровня'!S23</f>
        <v>0</v>
      </c>
      <c r="P23" s="306">
        <f>P6/'Ввод исходных данных'!$G$44</f>
        <v>3.9148007417985617</v>
      </c>
      <c r="Q23" s="306">
        <f>'Расчет базового уровня'!V23</f>
        <v>0</v>
      </c>
      <c r="R23" s="306">
        <f>R6/'Ввод исходных данных'!$G$44</f>
        <v>4.2321664150706457</v>
      </c>
      <c r="S23" s="306">
        <f>'Расчет базового уровня'!Y23</f>
        <v>0</v>
      </c>
      <c r="T23" s="306">
        <f>T6/'Ввод исходных данных'!$G$44</f>
        <v>4.1024046155177478</v>
      </c>
      <c r="U23" s="306">
        <f>'Расчет базового уровня'!AB23</f>
        <v>0</v>
      </c>
      <c r="V23" s="306">
        <f>V6/'Ввод исходных данных'!$G$44</f>
        <v>3.002322947843556</v>
      </c>
      <c r="W23" s="306">
        <f>'Расчет базового уровня'!AE23</f>
        <v>0</v>
      </c>
      <c r="X23" s="306">
        <f>X6/'Ввод исходных данных'!$G$44</f>
        <v>2.4266616980895139</v>
      </c>
      <c r="Y23" s="306">
        <f>'Расчет базового уровня'!AH23</f>
        <v>0</v>
      </c>
      <c r="Z23" s="306">
        <f>Z6/'Ввод исходных данных'!$G$44</f>
        <v>2.6126725400460495</v>
      </c>
      <c r="AA23" s="306">
        <f>'Расчет базового уровня'!AK23</f>
        <v>0</v>
      </c>
      <c r="AB23" s="306">
        <f>AB6/'Ввод исходных данных'!$G$44</f>
        <v>14.382638041453893</v>
      </c>
      <c r="AC23" s="306">
        <f>'Расчет базового уровня'!AN23</f>
        <v>0</v>
      </c>
      <c r="AD23" s="306">
        <f>AD6/'Ввод исходных данных'!$G$44</f>
        <v>21.026759822818274</v>
      </c>
      <c r="AE23" s="306">
        <f>'Расчет базового уровня'!AQ23</f>
        <v>0</v>
      </c>
      <c r="AF23" s="306">
        <f>AF6/'Ввод исходных данных'!$G$44</f>
        <v>22.414698238139607</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66545.190949451688</v>
      </c>
      <c r="E24" s="74"/>
      <c r="F24" s="74"/>
      <c r="G24" s="307" t="s">
        <v>874</v>
      </c>
      <c r="H24" s="309" t="s">
        <v>1191</v>
      </c>
      <c r="I24" s="95"/>
      <c r="J24" s="286">
        <f>0.123*J23</f>
        <v>3.4185022385042334</v>
      </c>
      <c r="K24" s="95"/>
      <c r="L24" s="286">
        <f>0.123*L23</f>
        <v>2.9159496206528615</v>
      </c>
      <c r="M24" s="95"/>
      <c r="N24" s="286">
        <f>0.123*N23</f>
        <v>1.0405029686077862</v>
      </c>
      <c r="O24" s="95"/>
      <c r="P24" s="286">
        <f>0.123*P23</f>
        <v>0.48152049124122309</v>
      </c>
      <c r="Q24" s="95"/>
      <c r="R24" s="286">
        <f>0.123*R23</f>
        <v>0.52055646905368946</v>
      </c>
      <c r="S24" s="95"/>
      <c r="T24" s="286">
        <f>0.123*T23</f>
        <v>0.50459576770868297</v>
      </c>
      <c r="U24" s="95"/>
      <c r="V24" s="286">
        <f>0.123*V23</f>
        <v>0.36928572258475739</v>
      </c>
      <c r="W24" s="95"/>
      <c r="X24" s="286">
        <f>0.123*X23</f>
        <v>0.29847938886501019</v>
      </c>
      <c r="Y24" s="95"/>
      <c r="Z24" s="286">
        <f>0.123*Z23</f>
        <v>0.3213587224256641</v>
      </c>
      <c r="AA24" s="95"/>
      <c r="AB24" s="286">
        <f>0.123*AB23</f>
        <v>1.7690644790988288</v>
      </c>
      <c r="AC24" s="95"/>
      <c r="AD24" s="286">
        <f>0.123*AD23</f>
        <v>2.5862914582066479</v>
      </c>
      <c r="AE24" s="95"/>
      <c r="AF24" s="286">
        <f>0.123*AF23</f>
        <v>2.7570078832911715</v>
      </c>
      <c r="AG24" s="74"/>
      <c r="AH24" s="74"/>
      <c r="AI24" s="74"/>
      <c r="AJ24" s="74"/>
      <c r="AK24" s="74"/>
      <c r="AL24" s="74"/>
      <c r="AM24" s="74"/>
      <c r="AN24" s="74"/>
      <c r="AO24" s="74"/>
      <c r="AP24" s="74"/>
      <c r="AQ24" s="74"/>
      <c r="AR24" s="74"/>
      <c r="AS24" s="74"/>
      <c r="AT24" s="74"/>
      <c r="AU24" s="74"/>
    </row>
    <row r="25" spans="1:4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3">
      <c r="A27" s="74"/>
      <c r="B27" s="317">
        <f>D12</f>
        <v>307563.92715675093</v>
      </c>
      <c r="C27" s="317">
        <f>D18</f>
        <v>4181.5496260636455</v>
      </c>
      <c r="D27" s="317">
        <f>D15</f>
        <v>212312.30439115496</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3">
      <c r="A28" s="74"/>
      <c r="B28" s="317">
        <f>C12</f>
        <v>447529.73102783097</v>
      </c>
      <c r="C28" s="317">
        <f>C18</f>
        <v>3245.599999999999</v>
      </c>
      <c r="D28" s="317">
        <f>C15</f>
        <v>231613.42297216901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3">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768" t="s">
        <v>834</v>
      </c>
      <c r="B33" s="1778" t="s">
        <v>1174</v>
      </c>
      <c r="C33" s="1774" t="s">
        <v>1338</v>
      </c>
      <c r="D33" s="1794" t="s">
        <v>1337</v>
      </c>
      <c r="E33" s="74"/>
      <c r="F33" s="74"/>
      <c r="G33" s="1770" t="s">
        <v>834</v>
      </c>
      <c r="H33" s="1764" t="s">
        <v>1174</v>
      </c>
      <c r="I33" s="1805" t="s">
        <v>488</v>
      </c>
      <c r="J33" s="1806"/>
      <c r="K33" s="1805" t="s">
        <v>489</v>
      </c>
      <c r="L33" s="1806"/>
      <c r="M33" s="1805" t="s">
        <v>490</v>
      </c>
      <c r="N33" s="1806"/>
      <c r="O33" s="1805" t="s">
        <v>491</v>
      </c>
      <c r="P33" s="1806"/>
      <c r="Q33" s="1805" t="s">
        <v>805</v>
      </c>
      <c r="R33" s="1806"/>
      <c r="S33" s="1805" t="s">
        <v>806</v>
      </c>
      <c r="T33" s="1806"/>
      <c r="U33" s="1805" t="s">
        <v>807</v>
      </c>
      <c r="V33" s="1806"/>
      <c r="W33" s="1805" t="s">
        <v>808</v>
      </c>
      <c r="X33" s="1806"/>
      <c r="Y33" s="1805" t="s">
        <v>809</v>
      </c>
      <c r="Z33" s="1806"/>
      <c r="AA33" s="1805" t="s">
        <v>482</v>
      </c>
      <c r="AB33" s="1806"/>
      <c r="AC33" s="1805" t="s">
        <v>486</v>
      </c>
      <c r="AD33" s="1806"/>
      <c r="AE33" s="1805" t="s">
        <v>487</v>
      </c>
      <c r="AF33" s="1806"/>
      <c r="AG33" s="74"/>
      <c r="AH33" s="74"/>
      <c r="AI33" s="74"/>
      <c r="AJ33" s="74"/>
      <c r="AK33" s="74"/>
      <c r="AL33" s="74"/>
      <c r="AM33" s="74"/>
      <c r="AN33" s="74"/>
      <c r="AO33" s="74"/>
      <c r="AP33" s="74"/>
      <c r="AQ33" s="74"/>
      <c r="AR33" s="74"/>
      <c r="AS33" s="74"/>
      <c r="AT33" s="74"/>
      <c r="AU33" s="74"/>
    </row>
    <row r="34" spans="1:55" ht="74.400000000000006" customHeight="1" thickBot="1" x14ac:dyDescent="0.35">
      <c r="A34" s="1769"/>
      <c r="B34" s="1779"/>
      <c r="C34" s="1811"/>
      <c r="D34" s="1810"/>
      <c r="E34" s="74"/>
      <c r="F34" s="74"/>
      <c r="G34" s="1771"/>
      <c r="H34" s="1765"/>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447529.73102783097</v>
      </c>
      <c r="D35" s="324">
        <f>D38+D62+D65+D68-D71</f>
        <v>307563.92715675093</v>
      </c>
      <c r="E35" s="74"/>
      <c r="F35" s="74"/>
      <c r="G35" s="325" t="s">
        <v>1192</v>
      </c>
      <c r="H35" s="326" t="s">
        <v>842</v>
      </c>
      <c r="I35" s="323">
        <f>'Расчет базового уровня'!J35</f>
        <v>82584.397400000002</v>
      </c>
      <c r="J35" s="327">
        <f>J38+J62+J65+J68-J71</f>
        <v>64797.794326164731</v>
      </c>
      <c r="K35" s="323">
        <f>'Расчет базового уровня'!M35</f>
        <v>55484.613339999996</v>
      </c>
      <c r="L35" s="328">
        <f>L38+L62+L65+L68-L71</f>
        <v>53382.590913042164</v>
      </c>
      <c r="M35" s="323">
        <f>'Расчет базового уровня'!P35</f>
        <v>13989.703740000001</v>
      </c>
      <c r="N35" s="327">
        <f>N38+N62+N65+N68-N71</f>
        <v>12874.877556038013</v>
      </c>
      <c r="O35" s="323">
        <f>'Расчет базового уровня'!S35</f>
        <v>-2845.8610000000031</v>
      </c>
      <c r="P35" s="328">
        <f>P38+P62+P65+P68-P71</f>
        <v>-3164.4894636419067</v>
      </c>
      <c r="Q35" s="323">
        <f>'Расчет базового уровня'!V35</f>
        <v>2400.1296199999992</v>
      </c>
      <c r="R35" s="327">
        <f>R38+R62+R65+R68-R71</f>
        <v>0</v>
      </c>
      <c r="S35" s="323">
        <f>'Расчет базового уровня'!Y35</f>
        <v>2186.9284599999969</v>
      </c>
      <c r="T35" s="327">
        <f>T38+T62+T65+T68-T71</f>
        <v>0</v>
      </c>
      <c r="U35" s="323">
        <f>'Расчет базового уровня'!AB35</f>
        <v>-5068.8191999999999</v>
      </c>
      <c r="V35" s="327">
        <f>V38+V62+V65+V68-V71</f>
        <v>0</v>
      </c>
      <c r="W35" s="323">
        <f>'Расчет базового уровня'!AE35</f>
        <v>6776.382319999997</v>
      </c>
      <c r="X35" s="327">
        <f>X38+X62+X65+X68-X71</f>
        <v>0</v>
      </c>
      <c r="Y35" s="323">
        <f>'Расчет базового уровня'!AH35</f>
        <v>37618.235180000003</v>
      </c>
      <c r="Z35" s="327">
        <f>Z38+Z62+Z65+Z68-Z71</f>
        <v>0</v>
      </c>
      <c r="AA35" s="323">
        <f>'Расчет базового уровня'!AK35</f>
        <v>87425.26860000001</v>
      </c>
      <c r="AB35" s="327">
        <f>AB38+AB62+AB65+AB68-AB71</f>
        <v>29775.841701661055</v>
      </c>
      <c r="AC35" s="323">
        <f>'Расчет базового уровня'!AN35</f>
        <v>83383.145799999998</v>
      </c>
      <c r="AD35" s="327">
        <f>AD38+AD62+AD65+AD68-AD71</f>
        <v>45271.491173390343</v>
      </c>
      <c r="AE35" s="323">
        <f>'Расчет базового уровня'!AQ35</f>
        <v>82994.447939999998</v>
      </c>
      <c r="AF35" s="327">
        <f>AF38+AF62+AF65+AF68-AF71</f>
        <v>50519.970839867048</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139965.80387108005</v>
      </c>
      <c r="E36" s="74"/>
      <c r="F36" s="74"/>
      <c r="G36" s="307" t="s">
        <v>1339</v>
      </c>
      <c r="H36" s="304" t="s">
        <v>842</v>
      </c>
      <c r="I36" s="308"/>
      <c r="J36" s="308">
        <f>I35-J35</f>
        <v>17786.603073835271</v>
      </c>
      <c r="K36" s="308"/>
      <c r="L36" s="308">
        <f>K35-L35</f>
        <v>2102.0224269578321</v>
      </c>
      <c r="M36" s="308"/>
      <c r="N36" s="308">
        <f>M35-N35</f>
        <v>1114.8261839619881</v>
      </c>
      <c r="O36" s="308"/>
      <c r="P36" s="308">
        <f>O35-P35</f>
        <v>318.62846364190364</v>
      </c>
      <c r="Q36" s="308"/>
      <c r="R36" s="308">
        <f>Q35-R35</f>
        <v>2400.1296199999992</v>
      </c>
      <c r="S36" s="308"/>
      <c r="T36" s="308">
        <f>S35-T35</f>
        <v>2186.9284599999969</v>
      </c>
      <c r="U36" s="308"/>
      <c r="V36" s="308">
        <f>U35-V35</f>
        <v>-5068.8191999999999</v>
      </c>
      <c r="W36" s="308"/>
      <c r="X36" s="308">
        <f>W35-X35</f>
        <v>6776.382319999997</v>
      </c>
      <c r="Y36" s="308"/>
      <c r="Z36" s="308">
        <f>Y35-Z35</f>
        <v>37618.235180000003</v>
      </c>
      <c r="AA36" s="308"/>
      <c r="AB36" s="308">
        <f>AA35-AB35</f>
        <v>57649.426898338956</v>
      </c>
      <c r="AC36" s="308"/>
      <c r="AD36" s="308">
        <f>AC35-AD35</f>
        <v>38111.654626609656</v>
      </c>
      <c r="AE36" s="308"/>
      <c r="AF36" s="308">
        <f>AE35-AF35</f>
        <v>32474.47710013295</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0.3127519674494561</v>
      </c>
      <c r="E37" s="74"/>
      <c r="F37" s="74"/>
      <c r="G37" s="307" t="s">
        <v>874</v>
      </c>
      <c r="H37" s="309" t="s">
        <v>1181</v>
      </c>
      <c r="I37" s="310"/>
      <c r="J37" s="310">
        <f>IF(I35=0,0,J36/I35)</f>
        <v>0.21537486055247612</v>
      </c>
      <c r="K37" s="310"/>
      <c r="L37" s="310">
        <f>IF(K35=0,0,L36/K35)</f>
        <v>3.7884781030679743E-2</v>
      </c>
      <c r="M37" s="310"/>
      <c r="N37" s="310">
        <f>IF(M35=0,0,N36/M35)</f>
        <v>7.9689048794823733E-2</v>
      </c>
      <c r="O37" s="310"/>
      <c r="P37" s="310">
        <f>IF(O35=0,0,P36/O35)</f>
        <v>-0.11196206126789161</v>
      </c>
      <c r="Q37" s="310"/>
      <c r="R37" s="310">
        <f>IF(Q35=0,0,R36/Q35)</f>
        <v>1</v>
      </c>
      <c r="S37" s="310"/>
      <c r="T37" s="310">
        <f>IF(S35=0,0,T36/S35)</f>
        <v>1</v>
      </c>
      <c r="U37" s="310"/>
      <c r="V37" s="310">
        <f>IF(U35=0,0,V36/U35)</f>
        <v>1</v>
      </c>
      <c r="W37" s="310"/>
      <c r="X37" s="310">
        <f>IF(W35=0,0,X36/W35)</f>
        <v>1</v>
      </c>
      <c r="Y37" s="310"/>
      <c r="Z37" s="310">
        <f>IF(Y35=0,0,Z36/Y35)</f>
        <v>1</v>
      </c>
      <c r="AA37" s="310"/>
      <c r="AB37" s="310">
        <f>IF(AA35=0,0,AB36/AA35)</f>
        <v>0.65941378072402002</v>
      </c>
      <c r="AC37" s="310"/>
      <c r="AD37" s="310">
        <f>IF(AC35=0,0,AD36/AC35)</f>
        <v>0.45706664411562242</v>
      </c>
      <c r="AE37" s="310"/>
      <c r="AF37" s="310">
        <f>IF(AE35=0,0,AF36/AE35)</f>
        <v>0.39128493418752597</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339202.65896180959</v>
      </c>
      <c r="D38" s="330">
        <f>D41+D44+D47+D50+D53+D56+D59</f>
        <v>258151.75354458211</v>
      </c>
      <c r="E38" s="74"/>
      <c r="F38" s="74"/>
      <c r="G38" s="325" t="s">
        <v>1196</v>
      </c>
      <c r="H38" s="331" t="s">
        <v>842</v>
      </c>
      <c r="I38" s="323">
        <f>'Расчет базового уровня'!J38</f>
        <v>62343.350102138997</v>
      </c>
      <c r="J38" s="330">
        <f>J41+J44+J47+J50+J53+J56+J59</f>
        <v>52652.563401079497</v>
      </c>
      <c r="K38" s="323">
        <f>'Расчет базового уровня'!M38</f>
        <v>44266.422417898742</v>
      </c>
      <c r="L38" s="330">
        <f>L41+L44+L47+L50+L53+L56+L59</f>
        <v>44266.422417898742</v>
      </c>
      <c r="M38" s="323">
        <f>'Расчет базового уровня'!P38</f>
        <v>19071.428772701314</v>
      </c>
      <c r="N38" s="330">
        <f>N41+N44+N47+N50+N53+N56+N59</f>
        <v>19071.428772701314</v>
      </c>
      <c r="O38" s="323">
        <f>'Расчет базового уровня'!S38</f>
        <v>3286.7145785526591</v>
      </c>
      <c r="P38" s="330">
        <f>P41+P44+P47+P50+P53+P56+P59</f>
        <v>3286.7145785526595</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55469.793413272266</v>
      </c>
      <c r="AB38" s="330">
        <f>AB41+AB44+AB47+AB50+AB53+AB56+AB59</f>
        <v>26416.292772208013</v>
      </c>
      <c r="AC38" s="323">
        <f>'Расчет базового уровня'!AN38</f>
        <v>60650.983819524088</v>
      </c>
      <c r="AD38" s="330">
        <f>AD41+AD44+AD47+AD50+AD53+AD56+AD59</f>
        <v>38509.084574596571</v>
      </c>
      <c r="AE38" s="323">
        <f>'Расчет базового уровня'!AQ38</f>
        <v>62105.104310864415</v>
      </c>
      <c r="AF38" s="330">
        <f>AF41+AF44+AF47+AF50+AF53+AF56+AF59</f>
        <v>42461.744678289921</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81050.905417227477</v>
      </c>
      <c r="E39" s="74"/>
      <c r="F39" s="74"/>
      <c r="G39" s="307" t="s">
        <v>1339</v>
      </c>
      <c r="H39" s="304" t="s">
        <v>842</v>
      </c>
      <c r="I39" s="308"/>
      <c r="J39" s="308">
        <f>I38-J38</f>
        <v>9690.7867010595</v>
      </c>
      <c r="K39" s="308"/>
      <c r="L39" s="308">
        <f>K38-L38</f>
        <v>0</v>
      </c>
      <c r="M39" s="308"/>
      <c r="N39" s="308">
        <f>M38-N38</f>
        <v>0</v>
      </c>
      <c r="O39" s="308"/>
      <c r="P39" s="308">
        <f>O38-P38</f>
        <v>0</v>
      </c>
      <c r="Q39" s="308"/>
      <c r="R39" s="308">
        <f>Q38-R38</f>
        <v>0</v>
      </c>
      <c r="S39" s="308"/>
      <c r="T39" s="308">
        <f>S38-T38</f>
        <v>0</v>
      </c>
      <c r="U39" s="308"/>
      <c r="V39" s="308">
        <f>U38-V38</f>
        <v>0</v>
      </c>
      <c r="W39" s="308"/>
      <c r="X39" s="308">
        <f>W38-X38</f>
        <v>0</v>
      </c>
      <c r="Y39" s="308"/>
      <c r="Z39" s="308">
        <f>Y38-Z38</f>
        <v>0</v>
      </c>
      <c r="AA39" s="308"/>
      <c r="AB39" s="308">
        <f>AA38-AB38</f>
        <v>29053.500641064253</v>
      </c>
      <c r="AC39" s="308"/>
      <c r="AD39" s="308">
        <f>AC38-AD38</f>
        <v>22141.899244927517</v>
      </c>
      <c r="AE39" s="308"/>
      <c r="AF39" s="308">
        <f>AE38-AF38</f>
        <v>19643.359632574495</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0.23894537167042931</v>
      </c>
      <c r="E40" s="74"/>
      <c r="F40" s="74"/>
      <c r="G40" s="307" t="s">
        <v>874</v>
      </c>
      <c r="H40" s="309" t="s">
        <v>1181</v>
      </c>
      <c r="I40" s="310"/>
      <c r="J40" s="310">
        <f>IF(I38=0,0,J39/I38)</f>
        <v>0.15544218726107581</v>
      </c>
      <c r="K40" s="310"/>
      <c r="L40" s="310">
        <f>IF(K38=0,0,L39/K38)</f>
        <v>0</v>
      </c>
      <c r="M40" s="310"/>
      <c r="N40" s="310">
        <f>IF(M38=0,0,N39/M38)</f>
        <v>0</v>
      </c>
      <c r="O40" s="310"/>
      <c r="P40" s="310">
        <f>IF(O38=0,0,P39/O38)</f>
        <v>0</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0.52377156742957365</v>
      </c>
      <c r="AC40" s="310"/>
      <c r="AD40" s="310">
        <f>IF(AC38=0,0,AD39/AC38)</f>
        <v>0.36507073505706011</v>
      </c>
      <c r="AE40" s="310"/>
      <c r="AF40" s="310">
        <f>IF(AE38=0,0,AF39/AE38)</f>
        <v>0.31629219289690758</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149066.35935403418</v>
      </c>
      <c r="D41" s="333">
        <f>IF(IF(C134=0,0,B134/C134*D134)*0.024*$D$147*(1-D163)&gt;C41,C41,IF(C134=0,0,B134/C134*D134)*0.024*$D$147*(1-D163))</f>
        <v>113447.64271462672</v>
      </c>
      <c r="E41" s="74"/>
      <c r="F41" s="74"/>
      <c r="G41" s="334" t="s">
        <v>1197</v>
      </c>
      <c r="H41" s="326" t="s">
        <v>842</v>
      </c>
      <c r="I41" s="323">
        <f>'Расчет базового уровня'!J41</f>
        <v>27397.474589685145</v>
      </c>
      <c r="J41" s="335">
        <f>IF($C134=0,0,MIN($B134/$C134*$D134*0.024*$G$147,I41))</f>
        <v>23138.751214034743</v>
      </c>
      <c r="K41" s="323">
        <f>'Расчет базового уровня'!M41</f>
        <v>19453.368825764133</v>
      </c>
      <c r="L41" s="335">
        <f>IF($C134=0,0,MIN($B134/$C134*$D134*0.024*$H$147,K41))</f>
        <v>19453.368825764133</v>
      </c>
      <c r="M41" s="323">
        <f>'Расчет базового уровня'!P41</f>
        <v>8381.1502643510867</v>
      </c>
      <c r="N41" s="335">
        <f>IF($C134=0,0,MIN($B134/$C134*$D134*0.024*$I$147,M41))</f>
        <v>8381.1502643510867</v>
      </c>
      <c r="O41" s="323">
        <f>'Расчет базового уровня'!S41</f>
        <v>1444.3830657466494</v>
      </c>
      <c r="P41" s="335">
        <f>IF($C134=0,0,MIN($B134/$C134*$D134*0.024*$J$147,O41))</f>
        <v>1444.3830657466494</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24376.814095575362</v>
      </c>
      <c r="AB41" s="335">
        <f>IF($C134=0,0,MIN($B134/$C134*$D134*0.024*$P$147,AA41))</f>
        <v>11608.931967796532</v>
      </c>
      <c r="AC41" s="323">
        <f>'Расчет базового уровня'!AN41</f>
        <v>26653.745512752037</v>
      </c>
      <c r="AD41" s="335">
        <f>IF($C134=0,0,MIN($B134/$C134*$D134*0.024*$Q$147,AC41))</f>
        <v>16923.24304638783</v>
      </c>
      <c r="AE41" s="323">
        <f>'Расчет базового уровня'!AQ41</f>
        <v>27292.774842208462</v>
      </c>
      <c r="AF41" s="335">
        <f>IF($C134=0,0,MIN($B134/$C134*$D134*0.024*$R$147,AE41))</f>
        <v>18660.283237124797</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35618.716639407459</v>
      </c>
      <c r="E42" s="74"/>
      <c r="F42" s="74"/>
      <c r="G42" s="307" t="s">
        <v>1339</v>
      </c>
      <c r="H42" s="304" t="s">
        <v>842</v>
      </c>
      <c r="I42" s="308"/>
      <c r="J42" s="308">
        <f>I41-J41</f>
        <v>4258.7233756504029</v>
      </c>
      <c r="K42" s="308"/>
      <c r="L42" s="308">
        <f>K41-L41</f>
        <v>0</v>
      </c>
      <c r="M42" s="308"/>
      <c r="N42" s="308">
        <f>M41-N41</f>
        <v>0</v>
      </c>
      <c r="O42" s="308"/>
      <c r="P42" s="308">
        <f>O41-P41</f>
        <v>0</v>
      </c>
      <c r="Q42" s="308"/>
      <c r="R42" s="308">
        <f>Q41-R41</f>
        <v>0</v>
      </c>
      <c r="S42" s="308"/>
      <c r="T42" s="308">
        <f>S41-T41</f>
        <v>0</v>
      </c>
      <c r="U42" s="308"/>
      <c r="V42" s="308">
        <f>U41-V41</f>
        <v>0</v>
      </c>
      <c r="W42" s="308"/>
      <c r="X42" s="308">
        <f>W41-X41</f>
        <v>0</v>
      </c>
      <c r="Y42" s="308"/>
      <c r="Z42" s="308">
        <f>Y41-Z41</f>
        <v>0</v>
      </c>
      <c r="AA42" s="308"/>
      <c r="AB42" s="308">
        <f>AA41-AB41</f>
        <v>12767.88212777883</v>
      </c>
      <c r="AC42" s="308"/>
      <c r="AD42" s="308">
        <f>AC41-AD41</f>
        <v>9730.5024663642071</v>
      </c>
      <c r="AE42" s="308"/>
      <c r="AF42" s="308">
        <f>AE41-AF41</f>
        <v>8632.4916050836655</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0.2389453716704292</v>
      </c>
      <c r="E43" s="74"/>
      <c r="F43" s="74"/>
      <c r="G43" s="307" t="s">
        <v>874</v>
      </c>
      <c r="H43" s="309" t="s">
        <v>1181</v>
      </c>
      <c r="I43" s="310"/>
      <c r="J43" s="310">
        <f>IF(I41=0,0,J42/I41)</f>
        <v>0.15544218726107575</v>
      </c>
      <c r="K43" s="310"/>
      <c r="L43" s="310">
        <f>IF(K41=0,0,L42/K41)</f>
        <v>0</v>
      </c>
      <c r="M43" s="310"/>
      <c r="N43" s="310">
        <f>IF(M41=0,0,N42/M41)</f>
        <v>0</v>
      </c>
      <c r="O43" s="310"/>
      <c r="P43" s="310">
        <f>IF(O41=0,0,P42/O41)</f>
        <v>0</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0.52377156742957354</v>
      </c>
      <c r="AC43" s="310"/>
      <c r="AD43" s="310">
        <f>IF(AC41=0,0,AD42/AC41)</f>
        <v>0.36507073505706022</v>
      </c>
      <c r="AE43" s="310"/>
      <c r="AF43" s="310">
        <f>IF(AE41=0,0,AF42/AE41)</f>
        <v>0.31629219289690758</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61174.246530991149</v>
      </c>
      <c r="D44" s="333">
        <f>IF(IF(C135=0,0,B135/C135*D135)*0.024*$D$147&gt;C44,C44,IF(C135=0,0,B135/C135*D135)*0.024*$D$147)</f>
        <v>46556.943456984998</v>
      </c>
      <c r="E44" s="74"/>
      <c r="F44" s="74"/>
      <c r="G44" s="334" t="s">
        <v>1199</v>
      </c>
      <c r="H44" s="326" t="s">
        <v>842</v>
      </c>
      <c r="I44" s="323">
        <f>'Расчет базового уровня'!J44</f>
        <v>11243.448033069617</v>
      </c>
      <c r="J44" s="335">
        <f>IF($C135=0,0,MIN($B135/$C135*$D135*0.024*$G$147,I44))</f>
        <v>9495.7418784530382</v>
      </c>
      <c r="K44" s="323">
        <f>'Расчет базового уровня'!M44</f>
        <v>7983.3249135656606</v>
      </c>
      <c r="L44" s="335">
        <f>IF($C135=0,0,MIN($B135/$C135*$D135*0.024*$H$147,K44))</f>
        <v>7983.3249135656606</v>
      </c>
      <c r="M44" s="323">
        <f>'Расчет базового уровня'!P44</f>
        <v>3439.4785966899608</v>
      </c>
      <c r="N44" s="335">
        <f>IF($C135=0,0,MIN($B135/$C135*$D135*0.024*$I$147,M44))</f>
        <v>3439.4785966899608</v>
      </c>
      <c r="O44" s="323">
        <f>'Расчет базового уровня'!S44</f>
        <v>592.74973999546501</v>
      </c>
      <c r="P44" s="335">
        <f>IF($C135=0,0,MIN($B135/$C135*$D135*0.024*$J$147,O44))</f>
        <v>592.74973999546501</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10003.821395954083</v>
      </c>
      <c r="AB44" s="335">
        <f>IF($C135=0,0,MIN($B135/$C135*$D135*0.024*$P$147,AA44))</f>
        <v>4764.1041831097082</v>
      </c>
      <c r="AC44" s="323">
        <f>'Расчет базового уровня'!AN44</f>
        <v>10938.234528817349</v>
      </c>
      <c r="AD44" s="335">
        <f>IF($C135=0,0,MIN($B135/$C135*$D135*0.024*$Q$147,AC44))</f>
        <v>6945.0052091554844</v>
      </c>
      <c r="AE44" s="323">
        <f>'Расчет базового уровня'!AQ44</f>
        <v>11200.481073980885</v>
      </c>
      <c r="AF44" s="335">
        <f>IF($C135=0,0,MIN($B135/$C135*$D135*0.024*$R$147,AE44))</f>
        <v>7657.8563535911599</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14617.303074006151</v>
      </c>
      <c r="E45" s="74"/>
      <c r="F45" s="74"/>
      <c r="G45" s="307" t="s">
        <v>1339</v>
      </c>
      <c r="H45" s="304" t="s">
        <v>842</v>
      </c>
      <c r="I45" s="308"/>
      <c r="J45" s="308">
        <f>I44-J44</f>
        <v>1747.7061546165787</v>
      </c>
      <c r="K45" s="308"/>
      <c r="L45" s="308">
        <f>K44-L44</f>
        <v>0</v>
      </c>
      <c r="M45" s="308"/>
      <c r="N45" s="308">
        <f>M44-N44</f>
        <v>0</v>
      </c>
      <c r="O45" s="308"/>
      <c r="P45" s="308">
        <f>O44-P44</f>
        <v>0</v>
      </c>
      <c r="Q45" s="308"/>
      <c r="R45" s="308">
        <f>Q44-R44</f>
        <v>0</v>
      </c>
      <c r="S45" s="308"/>
      <c r="T45" s="308">
        <f>S44-T44</f>
        <v>0</v>
      </c>
      <c r="U45" s="308"/>
      <c r="V45" s="308">
        <f>U44-V44</f>
        <v>0</v>
      </c>
      <c r="W45" s="308"/>
      <c r="X45" s="308">
        <f>W44-X44</f>
        <v>0</v>
      </c>
      <c r="Y45" s="308"/>
      <c r="Z45" s="308">
        <f>Y44-Z44</f>
        <v>0</v>
      </c>
      <c r="AA45" s="308"/>
      <c r="AB45" s="308">
        <f>AA44-AB44</f>
        <v>5239.7172128443744</v>
      </c>
      <c r="AC45" s="308"/>
      <c r="AD45" s="308">
        <f>AC44-AD44</f>
        <v>3993.2293196618648</v>
      </c>
      <c r="AE45" s="308"/>
      <c r="AF45" s="308">
        <f>AE44-AF44</f>
        <v>3542.6247203897256</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0.23894537167042931</v>
      </c>
      <c r="E46" s="74"/>
      <c r="F46" s="74"/>
      <c r="G46" s="307" t="s">
        <v>874</v>
      </c>
      <c r="H46" s="309" t="s">
        <v>1181</v>
      </c>
      <c r="I46" s="310"/>
      <c r="J46" s="310">
        <f>IF(I44=0,0,J45/I44)</f>
        <v>0.15544218726107553</v>
      </c>
      <c r="K46" s="310"/>
      <c r="L46" s="310">
        <f>IF(K44=0,0,L45/K44)</f>
        <v>0</v>
      </c>
      <c r="M46" s="310"/>
      <c r="N46" s="310">
        <f>IF(M44=0,0,N45/M44)</f>
        <v>0</v>
      </c>
      <c r="O46" s="310"/>
      <c r="P46" s="310">
        <f>IF(O44=0,0,P45/O44)</f>
        <v>0</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0.52377156742957354</v>
      </c>
      <c r="AC46" s="310"/>
      <c r="AD46" s="310">
        <f>IF(AC44=0,0,AD45/AC44)</f>
        <v>0.36507073505706006</v>
      </c>
      <c r="AE46" s="310"/>
      <c r="AF46" s="310">
        <f>IF(AE44=0,0,AF45/AE44)</f>
        <v>0.31629219289690763</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4417.7207885372381</v>
      </c>
      <c r="D47" s="333">
        <f>IF(IF(C136=0,0,B136/C136*D136)*0.024*$D$147&gt;C47,C47,IF(C136=0,0,B136/C136*D136)*0.024*$D$147)</f>
        <v>3186.0611999999996</v>
      </c>
      <c r="E47" s="74"/>
      <c r="F47" s="74"/>
      <c r="G47" s="334" t="s">
        <v>1201</v>
      </c>
      <c r="H47" s="326" t="s">
        <v>842</v>
      </c>
      <c r="I47" s="323">
        <f>'Расчет базового уровня'!J47</f>
        <v>769.43009726307434</v>
      </c>
      <c r="J47" s="335">
        <f>IF($C136=0,0,MIN($B136/$C136*$D136*0.024*$G$147,I47))</f>
        <v>649.82819999999992</v>
      </c>
      <c r="K47" s="323">
        <f>'Расчет базового уровня'!M47</f>
        <v>546.32799890751426</v>
      </c>
      <c r="L47" s="335">
        <f>IF($C136=0,0,MIN($B136/$C136*$D136*0.024*$H$147,K47))</f>
        <v>546.32799890751426</v>
      </c>
      <c r="M47" s="323">
        <f>'Расчет базового уровня'!P47</f>
        <v>235.37604686761773</v>
      </c>
      <c r="N47" s="335">
        <f>IF($C136=0,0,MIN($B136/$C136*$D136*0.024*$I$147,M47))</f>
        <v>235.37604686761773</v>
      </c>
      <c r="O47" s="323">
        <f>'Расчет базового уровня'!S47</f>
        <v>40.564023487806942</v>
      </c>
      <c r="P47" s="335">
        <f>IF($C136=0,0,MIN($B136/$C136*$D136*0.024*$J$147,O47))</f>
        <v>40.564023487806942</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684.59793179565395</v>
      </c>
      <c r="AB47" s="335">
        <f>IF($C136=0,0,MIN($B136/$C136*$D136*0.024*$P$147,AA47))</f>
        <v>326.02499999999998</v>
      </c>
      <c r="AC47" s="323">
        <f>'Расчет базового уровня'!AN47</f>
        <v>748.5432255870453</v>
      </c>
      <c r="AD47" s="335">
        <f>IF($C136=0,0,MIN($B136/$C136*$D136*0.024*$Q$147,AC47))</f>
        <v>475.27199999999993</v>
      </c>
      <c r="AE47" s="323">
        <f>'Расчет базового уровня'!AQ47</f>
        <v>766.4897117680282</v>
      </c>
      <c r="AF47" s="335">
        <f>IF($C136=0,0,MIN($B136/$C136*$D136*0.024*$R$147,AE47))</f>
        <v>524.05499999999995</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1231.6595885372385</v>
      </c>
      <c r="E48" s="74"/>
      <c r="F48" s="74"/>
      <c r="G48" s="307" t="s">
        <v>1339</v>
      </c>
      <c r="H48" s="304" t="s">
        <v>842</v>
      </c>
      <c r="I48" s="308"/>
      <c r="J48" s="308">
        <f>I47-J47</f>
        <v>119.60189726307442</v>
      </c>
      <c r="K48" s="308"/>
      <c r="L48" s="308">
        <f>K47-L47</f>
        <v>0</v>
      </c>
      <c r="M48" s="308"/>
      <c r="N48" s="308">
        <f>M47-N47</f>
        <v>0</v>
      </c>
      <c r="O48" s="308"/>
      <c r="P48" s="308">
        <f>O47-P47</f>
        <v>0</v>
      </c>
      <c r="Q48" s="308"/>
      <c r="R48" s="308">
        <f>Q47-R47</f>
        <v>0</v>
      </c>
      <c r="S48" s="308"/>
      <c r="T48" s="308">
        <f>S47-T47</f>
        <v>0</v>
      </c>
      <c r="U48" s="308"/>
      <c r="V48" s="308">
        <f>U47-V47</f>
        <v>0</v>
      </c>
      <c r="W48" s="308"/>
      <c r="X48" s="308">
        <f>W47-X47</f>
        <v>0</v>
      </c>
      <c r="Y48" s="308"/>
      <c r="Z48" s="308">
        <f>Y47-Z47</f>
        <v>0</v>
      </c>
      <c r="AA48" s="308"/>
      <c r="AB48" s="308">
        <f>AA47-AB47</f>
        <v>358.57293179565397</v>
      </c>
      <c r="AC48" s="308"/>
      <c r="AD48" s="308">
        <f>AC47-AD47</f>
        <v>273.27122558704536</v>
      </c>
      <c r="AE48" s="308"/>
      <c r="AF48" s="308">
        <f>AE47-AF47</f>
        <v>242.43471176802825</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0.27879978103936626</v>
      </c>
      <c r="E49" s="74"/>
      <c r="F49" s="74"/>
      <c r="G49" s="307" t="s">
        <v>874</v>
      </c>
      <c r="H49" s="309" t="s">
        <v>1181</v>
      </c>
      <c r="I49" s="310"/>
      <c r="J49" s="310">
        <f>IF(I47=0,0,J48/I47)</f>
        <v>0.15544218726107562</v>
      </c>
      <c r="K49" s="310"/>
      <c r="L49" s="310">
        <f>IF(K47=0,0,L48/K47)</f>
        <v>0</v>
      </c>
      <c r="M49" s="310"/>
      <c r="N49" s="310">
        <f>IF(M47=0,0,N48/M47)</f>
        <v>0</v>
      </c>
      <c r="O49" s="310"/>
      <c r="P49" s="310">
        <f>IF(O47=0,0,P48/O47)</f>
        <v>0</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0.52377156742957354</v>
      </c>
      <c r="AC49" s="310"/>
      <c r="AD49" s="310">
        <f>IF(AC47=0,0,AD48/AC47)</f>
        <v>0.36507073505706006</v>
      </c>
      <c r="AE49" s="310"/>
      <c r="AF49" s="310">
        <f>IF(AE47=0,0,AF48/AE47)</f>
        <v>0.31629219289690758</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66153.789279385383</v>
      </c>
      <c r="D53" s="333">
        <f>IF((IF(C138=0,0,B138/C138*D138)+IF(C139=0,0,B139/C139*D139)+IF(C140=0,0,B140/C140*D140))*0.024*$D$147&gt;C53,C53,(IF(C138=0,0,B138/C138*D138)+IF(C139=0,0,B139/C139*D139)+IF(C140=0,0,B140/C140*D140))*0.024*$D$147)</f>
        <v>50346.647512615375</v>
      </c>
      <c r="E53" s="74"/>
      <c r="F53" s="74"/>
      <c r="G53" s="334" t="s">
        <v>1203</v>
      </c>
      <c r="H53" s="326" t="s">
        <v>842</v>
      </c>
      <c r="I53" s="323">
        <f>'Расчет базового уровня'!J53</f>
        <v>12158.657182260458</v>
      </c>
      <c r="J53" s="335">
        <f>IF((IF(C138=0,0,B138/C138*D138)+IF(C139=0,0,B139/C139*D139)+IF(C140=0,0,B140/C140*D140))*0.024*G$147&gt;I53,I53,(IF(C138=0,0,B138/C138*D138)+IF(C139=0,0,B139/C139*D139)+IF(C140=0,0,B140/C140*D140))*0.024*G$147)</f>
        <v>10268.688915692306</v>
      </c>
      <c r="K53" s="323">
        <f>'Расчет базового уровня'!M53</f>
        <v>8633.1622215132411</v>
      </c>
      <c r="L53" s="335">
        <f>IF((IF($C$138=0,0,$B$138/$C$138*$D$138)+IF($C$139=0,0,$B$139/$C$139*$D$139)+IF($C$140=0,0,$B$140/$C$140*$D$140))*0.024*$H$147&gt;K53,K53,(IF($C$138=0,0,$B$138/$C$138*$D$138)+IF($C$139=0,0,$B$139/$C$139*$D$139)+IF($C$140=0,0,$B$140/$C$140*$D$140))*0.024*$H$147)</f>
        <v>8633.1622215132411</v>
      </c>
      <c r="M53" s="323">
        <f>'Расчет базового уровня'!P53</f>
        <v>3719.4498538059438</v>
      </c>
      <c r="N53" s="335">
        <f>IF((IF($C$138=0,0,$B$138/$C$138*$D$138)+IF($C$139=0,0,$B$139/$C$139*$D$139)+IF($C$140=0,0,$B$140/$C$140*$D$140))*0.024*$I$147&gt;M53,M53,(IF($C$138=0,0,$B$138/$C$138*$D$138)+IF($C$139=0,0,$B$139/$C$139*$D$139)+IF($C$140=0,0,$B$140/$C$140*$D$140))*0.024*$I$147)</f>
        <v>3719.4498538059438</v>
      </c>
      <c r="O53" s="323">
        <f>'Расчет базового уровня'!S53</f>
        <v>640.9991723429755</v>
      </c>
      <c r="P53" s="335">
        <f>IF((IF($C$138=0,0,$B$138/$C$138*$D$138)+IF($C$139=0,0,$B$139/$C$139*$D$139)+IF($C$140=0,0,$B$140/$C$140*$D$140))*0.024*$J$147&gt;O53,O53,(IF($C$138=0,0,$B$138/$C$138*$D$138)+IF($C$139=0,0,$B$139/$C$139*$D$139)+IF($C$140=0,0,$B$140/$C$140*$D$140))*0.024*$J$147)</f>
        <v>640.9991723429755</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10818.125766065417</v>
      </c>
      <c r="AB53" s="335">
        <f>IF((IF($C$138=0,0,$B$138/$C$138*$D$138)+IF($C$139=0,0,$B$139/$C$139*$D$139)+IF($C$140=0,0,$B$140/$C$140*$D$140))*0.024*$P$147&gt;AA53,AA53,(IF($C$138=0,0,$B$138/$C$138*$D$138)+IF($C$139=0,0,$B$139/$C$139*$D$139)+IF($C$140=0,0,$B$140/$C$140*$D$140))*0.024*$P$147)</f>
        <v>5151.8990769230768</v>
      </c>
      <c r="AC53" s="323">
        <f>'Расчет базового уровня'!AN53</f>
        <v>11828.599502918247</v>
      </c>
      <c r="AD53" s="335">
        <f>IF((IF($C$138=0,0,$B$138/$C$138*$D$138)+IF($C$139=0,0,$B$139/$C$139*$D$139)+IF($C$140=0,0,$B$140/$C$140*$D$140))*0.024*$Q$147&gt;AC53,AC53,(IF($C$138=0,0,$B$138/$C$138*$D$138)+IF($C$139=0,0,$B$139/$C$139*$D$139)+IF($C$140=0,0,$B$140/$C$140*$D$140))*0.024*$Q$147)</f>
        <v>7510.3239876923062</v>
      </c>
      <c r="AE53" s="323">
        <f>'Расчет базового уровня'!AQ53</f>
        <v>12112.192741442343</v>
      </c>
      <c r="AF53" s="335">
        <f>IF((IF($C$138=0,0,$B$138/$C$138*$D$138)+IF($C$139=0,0,$B$139/$C$139*$D$139)+IF($C$140=0,0,$B$140/$C$140*$D$140))*0.024*$R$147&gt;AE53,AE53,(IF($C$138=0,0,$B$138/$C$138*$D$138)+IF($C$139=0,0,$B$139/$C$139*$D$139)+IF($C$140=0,0,$B$140/$C$140*$D$140))*0.024*$R$147)</f>
        <v>8281.2007384615372</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15807.141766770008</v>
      </c>
      <c r="E54" s="74"/>
      <c r="F54" s="74"/>
      <c r="G54" s="307" t="s">
        <v>1339</v>
      </c>
      <c r="H54" s="304" t="s">
        <v>842</v>
      </c>
      <c r="I54" s="308"/>
      <c r="J54" s="308">
        <f>I53-J53</f>
        <v>1889.9682665681521</v>
      </c>
      <c r="K54" s="308"/>
      <c r="L54" s="308">
        <f>K53-L53</f>
        <v>0</v>
      </c>
      <c r="M54" s="308"/>
      <c r="N54" s="308">
        <f>M53-N53</f>
        <v>0</v>
      </c>
      <c r="O54" s="308"/>
      <c r="P54" s="308">
        <f>O53-P53</f>
        <v>0</v>
      </c>
      <c r="Q54" s="308"/>
      <c r="R54" s="308">
        <f>Q53-R53</f>
        <v>0</v>
      </c>
      <c r="S54" s="308"/>
      <c r="T54" s="308">
        <f>S53-T53</f>
        <v>0</v>
      </c>
      <c r="U54" s="308"/>
      <c r="V54" s="308">
        <f>U53-V53</f>
        <v>0</v>
      </c>
      <c r="W54" s="308"/>
      <c r="X54" s="308">
        <f>W53-X53</f>
        <v>0</v>
      </c>
      <c r="Y54" s="308"/>
      <c r="Z54" s="308">
        <f>Y53-Z53</f>
        <v>0</v>
      </c>
      <c r="AA54" s="308"/>
      <c r="AB54" s="308">
        <f>AA53-AB53</f>
        <v>5666.2266891423405</v>
      </c>
      <c r="AC54" s="308"/>
      <c r="AD54" s="308">
        <f>AC53-AD53</f>
        <v>4318.2755152259406</v>
      </c>
      <c r="AE54" s="308"/>
      <c r="AF54" s="308">
        <f>AE53-AF53</f>
        <v>3830.9920029808054</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0.2389453716704294</v>
      </c>
      <c r="E55" s="74"/>
      <c r="F55" s="74"/>
      <c r="G55" s="307" t="s">
        <v>874</v>
      </c>
      <c r="H55" s="309" t="s">
        <v>1181</v>
      </c>
      <c r="I55" s="310"/>
      <c r="J55" s="310">
        <f>IF(I53=0,0,J54/I53)</f>
        <v>0.15544218726107562</v>
      </c>
      <c r="K55" s="310"/>
      <c r="L55" s="310">
        <f>IF(K53=0,0,L54/K53)</f>
        <v>0</v>
      </c>
      <c r="M55" s="310"/>
      <c r="N55" s="310">
        <f>IF(M53=0,0,N54/M53)</f>
        <v>0</v>
      </c>
      <c r="O55" s="310"/>
      <c r="P55" s="310">
        <f>IF(O53=0,0,P54/O53)</f>
        <v>0</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0.52377156742957365</v>
      </c>
      <c r="AC55" s="310"/>
      <c r="AD55" s="310">
        <f>IF(AC53=0,0,AD54/AC53)</f>
        <v>0.36507073505706017</v>
      </c>
      <c r="AE55" s="310"/>
      <c r="AF55" s="310">
        <f>IF(AE53=0,0,AF54/AE53)</f>
        <v>0.31629219289690758</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56541.700238790909</v>
      </c>
      <c r="D56" s="333">
        <f>IF((IF(C142=0,0,B142/C142*D142)+IF(C141=0,0,B141/C141*D141))*0.024*$D$147&gt;C56,C56,(IF(C142=0,0,B142/C142*D142)+IF(C141=0,0,B141/C141*D141))*0.024*$D$147)</f>
        <v>43031.322660355021</v>
      </c>
      <c r="E56" s="74"/>
      <c r="F56" s="74"/>
      <c r="G56" s="334" t="s">
        <v>1204</v>
      </c>
      <c r="H56" s="326" t="s">
        <v>842</v>
      </c>
      <c r="I56" s="323">
        <f>'Расчет базового уровня'!J56</f>
        <v>10392.014685692699</v>
      </c>
      <c r="J56" s="335">
        <f>IF((IF($C$142=0,0,$B$142/$C$142*$D$142)+IF($C$141=0,0,$B$141/$C$141*$D$141))*0.024*$G$147&gt;I56,I56,(IF($C$142=0,0,$B$142/$C$142*$D$142)+IF($C$141=0,0,$B$141/$C$141*$D$141))*0.024*$G$147)</f>
        <v>8776.6571928994053</v>
      </c>
      <c r="K56" s="323">
        <f>'Расчет базового уровня'!M56</f>
        <v>7378.7711294984965</v>
      </c>
      <c r="L56" s="335">
        <f>IF((IF($C$142=0,0,$B$142/$C$142*$D$142)+IF($C$141=0,0,$B$141/$C$141*$D$141))*0.024*$H$147&gt;K56,K56,(IF($C$142=0,0,$B$142/$C$142*$D$142)+IF($C$141=0,0,$B$141/$C$141*$D$141))*0.024*$H$147)</f>
        <v>7378.7711294984965</v>
      </c>
      <c r="M56" s="323">
        <f>'Расчет базового уровня'!P56</f>
        <v>3179.0169690649086</v>
      </c>
      <c r="N56" s="335">
        <f>IF((IF($C$142=0,0,$B$142/$C$142*$D$142)+IF($C$141=0,0,$B$141/$C$141*$D$141))*0.024*$I$147&gt;M56,M56,(IF($C$142=0,0,$B$142/$C$142*$D$142)+IF($C$141=0,0,$B$141/$C$141*$D$141))*0.024*$I$147)</f>
        <v>3179.0169690649086</v>
      </c>
      <c r="O56" s="323">
        <f>'Расчет базового уровня'!S56</f>
        <v>547.86254046408146</v>
      </c>
      <c r="P56" s="335">
        <f>IF((IF($C$142=0,0,$B$142/$C$142*$D$142)+IF($C$141=0,0,$B$141/$C$141*$D$141))*0.024*$J$147&gt;O56,O56,(IF($C$142=0,0,$B$142/$C$142*$D$142)+IF($C$141=0,0,$B$141/$C$141*$D$141))*0.024*$J$147)</f>
        <v>547.86254046408146</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9246.26133851745</v>
      </c>
      <c r="AB56" s="335">
        <f>IF((IF($C$142=0,0,$B$142/$C$142*$D$142)+IF($C$141=0,0,$B$141/$C$141*$D$141))*0.024*$P$147&gt;AA56,AA56,(IF($C$142=0,0,$B$142/$C$142*$D$142)+IF($C$141=0,0,$B$141/$C$141*$D$141))*0.024*$P$147)</f>
        <v>4403.3325443786971</v>
      </c>
      <c r="AC56" s="323">
        <f>'Расчет базового уровня'!AN56</f>
        <v>10109.914105058329</v>
      </c>
      <c r="AD56" s="335">
        <f>IF((IF($C$142=0,0,$B$142/$C$142*$D$142)+IF($C$141=0,0,$B$141/$C$141*$D$141))*0.024*$Q$147&gt;AC56,AC56,(IF($C$142=0,0,$B$142/$C$142*$D$142)+IF($C$141=0,0,$B$141/$C$141*$D$141))*0.024*$Q$147)</f>
        <v>6419.0803313609449</v>
      </c>
      <c r="AE56" s="323">
        <f>'Расчет базового уровня'!AQ56</f>
        <v>10352.301488412257</v>
      </c>
      <c r="AF56" s="335">
        <f>IF((IF($C$142=0,0,$B$142/$C$142*$D$142)+IF($C$141=0,0,$B$141/$C$141*$D$141))*0.024*$R$147&gt;AE56,AE56,(IF($C$142=0,0,$B$142/$C$142*$D$142)+IF($C$141=0,0,$B$141/$C$141*$D$141))*0.024*$R$147)</f>
        <v>7077.9493491124249</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13510.377578435888</v>
      </c>
      <c r="E57" s="74"/>
      <c r="F57" s="74"/>
      <c r="G57" s="307" t="s">
        <v>1339</v>
      </c>
      <c r="H57" s="304" t="s">
        <v>842</v>
      </c>
      <c r="I57" s="308"/>
      <c r="J57" s="308">
        <f>I56-J56</f>
        <v>1615.3574927932932</v>
      </c>
      <c r="K57" s="308"/>
      <c r="L57" s="308">
        <f>K56-L56</f>
        <v>0</v>
      </c>
      <c r="M57" s="308"/>
      <c r="N57" s="308">
        <f>M56-N56</f>
        <v>0</v>
      </c>
      <c r="O57" s="308"/>
      <c r="P57" s="308">
        <f>O56-P56</f>
        <v>0</v>
      </c>
      <c r="Q57" s="308"/>
      <c r="R57" s="308">
        <f>Q56-R56</f>
        <v>0</v>
      </c>
      <c r="S57" s="308"/>
      <c r="T57" s="308">
        <f>S56-T56</f>
        <v>0</v>
      </c>
      <c r="U57" s="308"/>
      <c r="V57" s="308">
        <f>U56-V56</f>
        <v>0</v>
      </c>
      <c r="W57" s="308"/>
      <c r="X57" s="308">
        <f>W56-X56</f>
        <v>0</v>
      </c>
      <c r="Y57" s="308"/>
      <c r="Z57" s="308">
        <f>Y56-Z56</f>
        <v>0</v>
      </c>
      <c r="AA57" s="308"/>
      <c r="AB57" s="308">
        <f>AA56-AB56</f>
        <v>4842.9287941387529</v>
      </c>
      <c r="AC57" s="308"/>
      <c r="AD57" s="308">
        <f>AC56-AD56</f>
        <v>3690.8337736973845</v>
      </c>
      <c r="AE57" s="308"/>
      <c r="AF57" s="308">
        <f>AE56-AF56</f>
        <v>3274.3521392998318</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0.23894537167042917</v>
      </c>
      <c r="E58" s="74"/>
      <c r="F58" s="74"/>
      <c r="G58" s="307" t="s">
        <v>874</v>
      </c>
      <c r="H58" s="309" t="s">
        <v>1181</v>
      </c>
      <c r="I58" s="310"/>
      <c r="J58" s="310">
        <f>IF(I56=0,0,J57/I56)</f>
        <v>0.1554421872610757</v>
      </c>
      <c r="K58" s="310"/>
      <c r="L58" s="310">
        <f>IF(K56=0,0,L57/K56)</f>
        <v>0</v>
      </c>
      <c r="M58" s="310"/>
      <c r="N58" s="310">
        <f>IF(M56=0,0,N57/M56)</f>
        <v>0</v>
      </c>
      <c r="O58" s="310"/>
      <c r="P58" s="310">
        <f>IF(O56=0,0,P57/O56)</f>
        <v>0</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0.52377156742957365</v>
      </c>
      <c r="AC58" s="310"/>
      <c r="AD58" s="310">
        <f>IF(AC56=0,0,AD57/AC56)</f>
        <v>0.36507073505706011</v>
      </c>
      <c r="AE58" s="310"/>
      <c r="AF58" s="310">
        <f>IF(AE56=0,0,AF57/AE56)</f>
        <v>0.31629219289690746</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2080.1870733968271</v>
      </c>
      <c r="D59" s="342">
        <f>IF(IF(C143=0,0,B143/C143*D143)*0.024*$D$147&gt;C59,C59,IF(C143=0,0,B143/C143*D143)*0.024*$D$147)</f>
        <v>1583.136</v>
      </c>
      <c r="E59" s="74"/>
      <c r="F59" s="74"/>
      <c r="G59" s="334" t="s">
        <v>1205</v>
      </c>
      <c r="H59" s="326" t="s">
        <v>842</v>
      </c>
      <c r="I59" s="323">
        <f>'Расчет базового уровня'!J59</f>
        <v>382.32551416798725</v>
      </c>
      <c r="J59" s="343">
        <f>IF($C143=0,0,MIN($B143/$C143*$D143*0.024*$G$147,I59))</f>
        <v>322.89599999999996</v>
      </c>
      <c r="K59" s="323">
        <f>'Расчет базового уровня'!M59</f>
        <v>271.46732864969658</v>
      </c>
      <c r="L59" s="343">
        <f>IF($C143=0,0,MIN($B143/$C143*$D143*0.024*$H$147,K59))</f>
        <v>271.46732864969658</v>
      </c>
      <c r="M59" s="323">
        <f>'Расчет базового уровня'!P59</f>
        <v>116.95704192179765</v>
      </c>
      <c r="N59" s="343">
        <f>IF($C143=0,0,MIN($B143/$C143*$D143*0.024*$I$147,M59))</f>
        <v>116.95704192179765</v>
      </c>
      <c r="O59" s="323">
        <f>'Расчет базового уровня'!S59</f>
        <v>20.156036515680466</v>
      </c>
      <c r="P59" s="343">
        <f>IF($C143=0,0,MIN($B143/$C143*$D143*0.024*$J$147,O59))</f>
        <v>20.156036515680466</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340.1728853643001</v>
      </c>
      <c r="AB59" s="343">
        <f>IF($C143=0,0,MIN($B143/$C143*$D143*0.024*$P$147,AA59))</f>
        <v>162</v>
      </c>
      <c r="AC59" s="323">
        <f>'Расчет базового уровня'!AN59</f>
        <v>371.94694439107843</v>
      </c>
      <c r="AD59" s="343">
        <f>IF($C143=0,0,MIN($B143/$C143*$D143*0.024*$Q$147,AC59))</f>
        <v>236.15999999999997</v>
      </c>
      <c r="AE59" s="323">
        <f>'Расчет базового уровня'!AQ59</f>
        <v>380.86445305243637</v>
      </c>
      <c r="AF59" s="343">
        <f>IF($C143=0,0,MIN($B143/$C143*$D143*0.024*$R$147,AE59))</f>
        <v>260.39999999999998</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497.05107339682718</v>
      </c>
      <c r="E60" s="74"/>
      <c r="F60" s="74"/>
      <c r="G60" s="307" t="s">
        <v>1339</v>
      </c>
      <c r="H60" s="304" t="s">
        <v>842</v>
      </c>
      <c r="I60" s="308"/>
      <c r="J60" s="308">
        <f>I59-J59</f>
        <v>59.429514167987293</v>
      </c>
      <c r="K60" s="308"/>
      <c r="L60" s="308">
        <f>K59-L59</f>
        <v>0</v>
      </c>
      <c r="M60" s="308"/>
      <c r="N60" s="308">
        <f>M59-N59</f>
        <v>0</v>
      </c>
      <c r="O60" s="308"/>
      <c r="P60" s="308">
        <f>O59-P59</f>
        <v>0</v>
      </c>
      <c r="Q60" s="308"/>
      <c r="R60" s="308">
        <f>Q59-R59</f>
        <v>0</v>
      </c>
      <c r="S60" s="308"/>
      <c r="T60" s="308">
        <f>S59-T59</f>
        <v>0</v>
      </c>
      <c r="U60" s="308"/>
      <c r="V60" s="308">
        <f>U59-V59</f>
        <v>0</v>
      </c>
      <c r="W60" s="308"/>
      <c r="X60" s="308">
        <f>W59-X59</f>
        <v>0</v>
      </c>
      <c r="Y60" s="308"/>
      <c r="Z60" s="308">
        <f>Y59-Z59</f>
        <v>0</v>
      </c>
      <c r="AA60" s="308"/>
      <c r="AB60" s="308">
        <f>AA59-AB59</f>
        <v>178.1728853643001</v>
      </c>
      <c r="AC60" s="308"/>
      <c r="AD60" s="308">
        <f>AC59-AD59</f>
        <v>135.78694439107846</v>
      </c>
      <c r="AE60" s="308"/>
      <c r="AF60" s="308">
        <f>AE59-AF59</f>
        <v>120.4644530524364</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0.23894537167042917</v>
      </c>
      <c r="E61" s="74"/>
      <c r="F61" s="74"/>
      <c r="G61" s="307" t="s">
        <v>874</v>
      </c>
      <c r="H61" s="309" t="s">
        <v>1181</v>
      </c>
      <c r="I61" s="310"/>
      <c r="J61" s="310">
        <f>IF(I59=0,0,J60/I59)</f>
        <v>0.15544218726107562</v>
      </c>
      <c r="K61" s="310"/>
      <c r="L61" s="310">
        <f>IF(K59=0,0,L60/K59)</f>
        <v>0</v>
      </c>
      <c r="M61" s="310"/>
      <c r="N61" s="310">
        <f>IF(M59=0,0,N60/M59)</f>
        <v>0</v>
      </c>
      <c r="O61" s="310"/>
      <c r="P61" s="310">
        <f>IF(O59=0,0,P60/O59)</f>
        <v>0</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0.52377156742957354</v>
      </c>
      <c r="AC61" s="310"/>
      <c r="AD61" s="310">
        <f>IF(AC59=0,0,AD60/AC59)</f>
        <v>0.36507073505706011</v>
      </c>
      <c r="AE61" s="310"/>
      <c r="AF61" s="310">
        <f>IF(AE59=0,0,AF60/AE59)</f>
        <v>0.31629219289690758</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113406.02384056519</v>
      </c>
      <c r="D62" s="324">
        <f>IF((D151*D152*'Ввод исходных данных'!$D$22*0.28)*D147*0.024+D190*D154+D161&gt;C62,C62,(D151*D152*'Ввод исходных данных'!$D$22*0.28)*D147*0.024+D190*D154+D161)</f>
        <v>86580.1139893902</v>
      </c>
      <c r="E62" s="74"/>
      <c r="F62" s="74"/>
      <c r="G62" s="344" t="s">
        <v>1198</v>
      </c>
      <c r="H62" s="326" t="s">
        <v>842</v>
      </c>
      <c r="I62" s="323">
        <f>'Расчет базового уровня'!J62</f>
        <v>20843.325549461249</v>
      </c>
      <c r="J62" s="328">
        <f>MIN(I62,($D$151*$D$152*'Ввод исходных данных'!$D$22*0.28)*$G$147*0.024+$G$190*$D$154+$G$161)</f>
        <v>17603.393436258328</v>
      </c>
      <c r="K62" s="323">
        <f>'Расчет базового уровня'!M62</f>
        <v>14799.645060052311</v>
      </c>
      <c r="L62" s="328">
        <f>MIN(K62,($D$151*$D$152*'Ввод исходных данных'!$D$22*0.28)*$H$147*0.024+$H$190*$D$154+$H$161)</f>
        <v>14799.645060052311</v>
      </c>
      <c r="M62" s="323">
        <f>'Расчет базового уровня'!P62</f>
        <v>6376.1732077522283</v>
      </c>
      <c r="N62" s="328">
        <f>MIN(M62,($D$151*$D$152*'Ввод исходных данных'!$D$22*0.28)*$I$147*0.024+$I$190*$D$154+$I$161)</f>
        <v>6376.1732077522283</v>
      </c>
      <c r="O62" s="323">
        <f>'Расчет базового уровня'!S62</f>
        <v>1098.8511499092986</v>
      </c>
      <c r="P62" s="328">
        <f>MIN(O62,($D$151*$D$152*'Ввод исходных данных'!$D$22*0.28)*$J$147*0.024+$J$190*$D$154+$J$161)</f>
        <v>1098.8511499092986</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18545.281259027612</v>
      </c>
      <c r="AB62" s="328">
        <f>MIN(AA62,($D$151*$D$152*'Ввод исходных данных'!$D$22*0.28)*$P$147*0.024+$P$190*$D$154+$P$161)</f>
        <v>8831.7902255644221</v>
      </c>
      <c r="AC62" s="323">
        <f>'Расчет базового уровня'!AN62</f>
        <v>20277.514740133829</v>
      </c>
      <c r="AD62" s="328">
        <f>MIN(AC62,($D$151*$D$152*'Ввод исходных данных'!$D$22*0.28)*$Q$147*0.024+$Q$190*$D$154+$Q$161)</f>
        <v>12874.787528822802</v>
      </c>
      <c r="AE62" s="323">
        <f>'Расчет базового уровня'!AQ62</f>
        <v>20763.672553910172</v>
      </c>
      <c r="AF62" s="328">
        <f>MIN(AE62,($D$151*$D$152*'Ввод исходных данных'!$D$22*0.28)*$R$147*0.024+$R$190*$D$154+$R$161)</f>
        <v>14196.285029240591</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26825.909851174991</v>
      </c>
      <c r="E63" s="317"/>
      <c r="F63" s="74"/>
      <c r="G63" s="307" t="s">
        <v>1339</v>
      </c>
      <c r="H63" s="304" t="s">
        <v>842</v>
      </c>
      <c r="I63" s="308"/>
      <c r="J63" s="308">
        <f>I62-J62</f>
        <v>3239.9321132029218</v>
      </c>
      <c r="K63" s="308"/>
      <c r="L63" s="308">
        <f>K62-L62</f>
        <v>0</v>
      </c>
      <c r="M63" s="308"/>
      <c r="N63" s="308">
        <f>M62-N62</f>
        <v>0</v>
      </c>
      <c r="O63" s="308"/>
      <c r="P63" s="308">
        <f>O62-P62</f>
        <v>0</v>
      </c>
      <c r="Q63" s="308"/>
      <c r="R63" s="308">
        <f>Q62-R62</f>
        <v>0</v>
      </c>
      <c r="S63" s="308"/>
      <c r="T63" s="308">
        <f>S62-T62</f>
        <v>0</v>
      </c>
      <c r="U63" s="308"/>
      <c r="V63" s="308">
        <f>U62-V62</f>
        <v>0</v>
      </c>
      <c r="W63" s="308"/>
      <c r="X63" s="308">
        <f>W62-X62</f>
        <v>0</v>
      </c>
      <c r="Y63" s="308"/>
      <c r="Z63" s="308">
        <f>Y62-Z62</f>
        <v>0</v>
      </c>
      <c r="AA63" s="308"/>
      <c r="AB63" s="308">
        <f>AA62-AB62</f>
        <v>9713.4910334631895</v>
      </c>
      <c r="AC63" s="308"/>
      <c r="AD63" s="308">
        <f>AC62-AD62</f>
        <v>7402.7272113110266</v>
      </c>
      <c r="AE63" s="308"/>
      <c r="AF63" s="308">
        <f>AE62-AF62</f>
        <v>6567.3875246695807</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0.23654748612727039</v>
      </c>
      <c r="E64" s="74"/>
      <c r="F64" s="74"/>
      <c r="G64" s="307" t="s">
        <v>874</v>
      </c>
      <c r="H64" s="309" t="s">
        <v>1181</v>
      </c>
      <c r="I64" s="310"/>
      <c r="J64" s="310">
        <f>IF(I62=0,0,J63/I62)</f>
        <v>0.15544218726107584</v>
      </c>
      <c r="K64" s="310"/>
      <c r="L64" s="310">
        <f>IF(K62=0,0,L63/K62)</f>
        <v>0</v>
      </c>
      <c r="M64" s="310"/>
      <c r="N64" s="310">
        <f>IF(M62=0,0,N63/M62)</f>
        <v>0</v>
      </c>
      <c r="O64" s="310"/>
      <c r="P64" s="310">
        <f>IF(O62=0,0,P63/O62)</f>
        <v>0</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0.52377156742957365</v>
      </c>
      <c r="AC64" s="310"/>
      <c r="AD64" s="310">
        <f>IF(AC62=0,0,AD63/AC62)</f>
        <v>0.36507073505706006</v>
      </c>
      <c r="AE64" s="310"/>
      <c r="AF64" s="310">
        <f>IF(AE62=0,0,AF63/AE62)</f>
        <v>0.31629219289690752</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35016.918254121658</v>
      </c>
      <c r="D65" s="324">
        <f>IF((D62+D38-D71*$D$156)*($D$158-1)&gt;C65,C65,(D62+D38-D71*$D$156)*($D$158-1))</f>
        <v>14645.901293178629</v>
      </c>
      <c r="E65" s="74"/>
      <c r="F65" s="74"/>
      <c r="G65" s="345" t="s">
        <v>1206</v>
      </c>
      <c r="H65" s="346" t="s">
        <v>842</v>
      </c>
      <c r="I65" s="323">
        <f>'Расчет базового уровня'!J65</f>
        <v>6596.842784202252</v>
      </c>
      <c r="J65" s="347">
        <f>MIN(I65,(J62+J38-J71*$D$156)*($D$158-1))</f>
        <v>3085.6092536268943</v>
      </c>
      <c r="K65" s="323">
        <f>'Расчет базового уровня'!M65</f>
        <v>4669.4780437353775</v>
      </c>
      <c r="L65" s="347">
        <f>MIN(K65,(L62+L38-L71*$D$156)*($D$158-1))</f>
        <v>2567.455616777555</v>
      </c>
      <c r="M65" s="323">
        <f>'Расчет базового уровня'!P65</f>
        <v>1960.01769474466</v>
      </c>
      <c r="N65" s="347">
        <f>MIN(M65,(N62+N38-N71*$D$156)*($D$158-1))</f>
        <v>845.19151078267794</v>
      </c>
      <c r="O65" s="323">
        <f>'Расчет базового уровня'!S65</f>
        <v>331.20259446500313</v>
      </c>
      <c r="P65" s="347">
        <f>MIN(O65,(P62+P38-P71*$D$156)*($D$158-1))</f>
        <v>12.574130823097914</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4631.0047619933848</v>
      </c>
      <c r="AB65" s="347">
        <f>MIN(AA65,(AB62+AB38-AB71*$D$156)*($D$158-1))</f>
        <v>1417.8972238886231</v>
      </c>
      <c r="AC65" s="323">
        <f>'Расчет базового уровня'!AN65</f>
        <v>6125.688679580694</v>
      </c>
      <c r="AD65" s="347">
        <f>MIN(AC65,(AD62+AD38-AD71*$D$156)*($D$158-1))</f>
        <v>2155.7852939709705</v>
      </c>
      <c r="AE65" s="323">
        <f>'Расчет базового уровня'!AQ65</f>
        <v>6493.4072564784983</v>
      </c>
      <c r="AF65" s="347">
        <f>MIN(AE65,(AF62+AF38-AF71*$D$156)*($D$158-1))</f>
        <v>2405.7128971365278</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20371.01696094303</v>
      </c>
      <c r="E66" s="74"/>
      <c r="F66" s="74"/>
      <c r="G66" s="307" t="s">
        <v>1339</v>
      </c>
      <c r="H66" s="304" t="s">
        <v>842</v>
      </c>
      <c r="I66" s="308"/>
      <c r="J66" s="308">
        <f>I65-J65</f>
        <v>3511.2335305753577</v>
      </c>
      <c r="K66" s="308"/>
      <c r="L66" s="308">
        <f>K65-L65</f>
        <v>2102.0224269578225</v>
      </c>
      <c r="M66" s="308"/>
      <c r="N66" s="308">
        <f>M65-N65</f>
        <v>1114.8261839619822</v>
      </c>
      <c r="O66" s="308"/>
      <c r="P66" s="308">
        <f>O65-P65</f>
        <v>318.62846364190523</v>
      </c>
      <c r="Q66" s="308"/>
      <c r="R66" s="308">
        <f>Q65-R65</f>
        <v>0</v>
      </c>
      <c r="S66" s="308"/>
      <c r="T66" s="308">
        <f>S65-T65</f>
        <v>0</v>
      </c>
      <c r="U66" s="308"/>
      <c r="V66" s="308">
        <f>U65-V65</f>
        <v>0</v>
      </c>
      <c r="W66" s="308"/>
      <c r="X66" s="308">
        <f>W65-X65</f>
        <v>0</v>
      </c>
      <c r="Y66" s="308"/>
      <c r="Z66" s="308">
        <f>Y65-Z65</f>
        <v>0</v>
      </c>
      <c r="AA66" s="308"/>
      <c r="AB66" s="308">
        <f>AA65-AB65</f>
        <v>3213.1075381047617</v>
      </c>
      <c r="AC66" s="308"/>
      <c r="AD66" s="308">
        <f>AC65-AD65</f>
        <v>3969.9033856097235</v>
      </c>
      <c r="AE66" s="308"/>
      <c r="AF66" s="308">
        <f>AE65-AF65</f>
        <v>4087.6943593419705</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0.58174785151304009</v>
      </c>
      <c r="E67" s="74"/>
      <c r="F67" s="74"/>
      <c r="G67" s="307" t="s">
        <v>874</v>
      </c>
      <c r="H67" s="309" t="s">
        <v>1181</v>
      </c>
      <c r="I67" s="310"/>
      <c r="J67" s="310">
        <f>IF(I65=0,0,J66/I65)</f>
        <v>0.53225969534757778</v>
      </c>
      <c r="K67" s="310"/>
      <c r="L67" s="310">
        <f>IF(K65=0,0,L66/K65)</f>
        <v>0.45016218242591777</v>
      </c>
      <c r="M67" s="310"/>
      <c r="N67" s="310">
        <f>IF(M65=0,0,N66/M65)</f>
        <v>0.56878373442807895</v>
      </c>
      <c r="O67" s="310"/>
      <c r="P67" s="310">
        <f>IF(O65=0,0,P66/O65)</f>
        <v>0.96203492655783962</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0.6938251423265005</v>
      </c>
      <c r="AC67" s="310"/>
      <c r="AD67" s="310">
        <f>IF(AC65=0,0,AD66/AC65)</f>
        <v>0.64807462364892254</v>
      </c>
      <c r="AE67" s="310"/>
      <c r="AF67" s="310">
        <f>IF(AE65=0,0,AF66/AE65)</f>
        <v>0.62951455189625782</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63531.813312134502</v>
      </c>
      <c r="D68" s="348">
        <f>IF(D71*(1-$D$156)&gt;C68,C68,D71*(1-$D$156))</f>
        <v>51813.84167039999</v>
      </c>
      <c r="E68" s="74"/>
      <c r="F68" s="74"/>
      <c r="G68" s="345" t="s">
        <v>1200</v>
      </c>
      <c r="H68" s="346" t="s">
        <v>842</v>
      </c>
      <c r="I68" s="323">
        <f>'Расчет базового уровня'!J68</f>
        <v>9888.4224937975014</v>
      </c>
      <c r="J68" s="349">
        <f>MIN(I68,J71*(1-$D$156))</f>
        <v>8543.771764799998</v>
      </c>
      <c r="K68" s="323">
        <f>'Расчет базового уровня'!M68</f>
        <v>7182.9781031135708</v>
      </c>
      <c r="L68" s="349">
        <f>MIN(K68,L71*(1-$D$156))</f>
        <v>7182.9781031135708</v>
      </c>
      <c r="M68" s="323">
        <f>'Расчет базового уровня'!P68</f>
        <v>3669.627594401788</v>
      </c>
      <c r="N68" s="349">
        <f>MIN(M68,N71*(1-$D$156))</f>
        <v>3669.627594401788</v>
      </c>
      <c r="O68" s="323">
        <f>'Расчет базового уровня'!S68</f>
        <v>705.53690107303692</v>
      </c>
      <c r="P68" s="349">
        <f>MIN(O68,P71*(1-$D$156))</f>
        <v>705.53690107303692</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22559.466205706751</v>
      </c>
      <c r="AB68" s="349">
        <f>MIN(AA68,AB71*(1-$D$156))</f>
        <v>6890.1385199999995</v>
      </c>
      <c r="AC68" s="323">
        <f>'Расчет базового уровня'!AN68</f>
        <v>12865.291008761382</v>
      </c>
      <c r="AD68" s="349">
        <f>MIN(AC68,AD71*(1-$D$156))</f>
        <v>8268.1662240000005</v>
      </c>
      <c r="AE68" s="323">
        <f>'Расчет базового уровня'!AQ68</f>
        <v>10719.807348346909</v>
      </c>
      <c r="AF68" s="349">
        <f>MIN(AE68,AF71*(1-$D$156))</f>
        <v>8543.771764799998</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11717.971641734512</v>
      </c>
      <c r="E69" s="74"/>
      <c r="F69" s="74"/>
      <c r="G69" s="307" t="s">
        <v>1339</v>
      </c>
      <c r="H69" s="304" t="s">
        <v>842</v>
      </c>
      <c r="I69" s="308"/>
      <c r="J69" s="308">
        <f>I68-J68</f>
        <v>1344.6507289975034</v>
      </c>
      <c r="K69" s="308"/>
      <c r="L69" s="308">
        <f>K68-L68</f>
        <v>0</v>
      </c>
      <c r="M69" s="308"/>
      <c r="N69" s="308">
        <f>M68-N68</f>
        <v>0</v>
      </c>
      <c r="O69" s="308"/>
      <c r="P69" s="308">
        <f>O68-P68</f>
        <v>0</v>
      </c>
      <c r="Q69" s="308"/>
      <c r="R69" s="308">
        <f>Q68-R68</f>
        <v>0</v>
      </c>
      <c r="S69" s="308"/>
      <c r="T69" s="308">
        <f>S68-T68</f>
        <v>0</v>
      </c>
      <c r="U69" s="308"/>
      <c r="V69" s="308">
        <f>U68-V68</f>
        <v>0</v>
      </c>
      <c r="W69" s="308"/>
      <c r="X69" s="308">
        <f>W68-X68</f>
        <v>0</v>
      </c>
      <c r="Y69" s="308"/>
      <c r="Z69" s="308">
        <f>Y68-Z68</f>
        <v>0</v>
      </c>
      <c r="AA69" s="308"/>
      <c r="AB69" s="308">
        <f>AA68-AB68</f>
        <v>15669.32768570675</v>
      </c>
      <c r="AC69" s="308"/>
      <c r="AD69" s="308">
        <f>AC68-AD68</f>
        <v>4597.1247847613813</v>
      </c>
      <c r="AE69" s="308"/>
      <c r="AF69" s="308">
        <f>AE68-AF68</f>
        <v>2176.0355835469109</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0.18444258129645408</v>
      </c>
      <c r="E70" s="74"/>
      <c r="F70" s="74"/>
      <c r="G70" s="307" t="s">
        <v>874</v>
      </c>
      <c r="H70" s="309" t="s">
        <v>1181</v>
      </c>
      <c r="I70" s="310"/>
      <c r="J70" s="310">
        <f>IF(I68=0,0,J69/I68)</f>
        <v>0.13598232982469485</v>
      </c>
      <c r="K70" s="310"/>
      <c r="L70" s="310">
        <f>IF(K68=0,0,L69/K68)</f>
        <v>0</v>
      </c>
      <c r="M70" s="310"/>
      <c r="N70" s="310">
        <f>IF(M68=0,0,N69/M68)</f>
        <v>0</v>
      </c>
      <c r="O70" s="310"/>
      <c r="P70" s="310">
        <f>IF(O68=0,0,P69/O68)</f>
        <v>0</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0.69457883191149983</v>
      </c>
      <c r="AC70" s="310"/>
      <c r="AD70" s="310">
        <f>IF(AC68=0,0,AD69/AC68)</f>
        <v>0.35732769524068264</v>
      </c>
      <c r="AE70" s="310"/>
      <c r="AF70" s="310">
        <f>IF(AE68=0,0,AF69/AE68)</f>
        <v>0.20299204200553803</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103627.68334079998</v>
      </c>
      <c r="D71" s="352">
        <f>C71</f>
        <v>103627.68334079998</v>
      </c>
      <c r="E71" s="74"/>
      <c r="F71" s="74"/>
      <c r="G71" s="344" t="s">
        <v>1202</v>
      </c>
      <c r="H71" s="346" t="s">
        <v>842</v>
      </c>
      <c r="I71" s="323">
        <f>'Расчет базового уровня'!J71</f>
        <v>17087.543529599996</v>
      </c>
      <c r="J71" s="353">
        <f>I71</f>
        <v>17087.543529599996</v>
      </c>
      <c r="K71" s="323">
        <f>'Расчет базового уровня'!M71</f>
        <v>15433.9102848</v>
      </c>
      <c r="L71" s="353">
        <f>K71</f>
        <v>15433.9102848</v>
      </c>
      <c r="M71" s="323">
        <f>'Расчет базового уровня'!P71</f>
        <v>17087.543529599996</v>
      </c>
      <c r="N71" s="353">
        <f>M71</f>
        <v>17087.543529599996</v>
      </c>
      <c r="O71" s="323">
        <f>'Расчет базового уровня'!S71</f>
        <v>8268.1662240000005</v>
      </c>
      <c r="P71" s="354">
        <f>O71</f>
        <v>8268.1662240000005</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13780.277039999999</v>
      </c>
      <c r="AB71" s="353">
        <f>AA71</f>
        <v>13780.277039999999</v>
      </c>
      <c r="AC71" s="323">
        <f>'Расчет базового уровня'!AN71</f>
        <v>16536.332448000001</v>
      </c>
      <c r="AD71" s="353">
        <f>AC71</f>
        <v>16536.332448000001</v>
      </c>
      <c r="AE71" s="323">
        <f>'Расчет базового уровня'!AQ71</f>
        <v>17087.543529599996</v>
      </c>
      <c r="AF71" s="357">
        <f>AE71</f>
        <v>17087.543529599996</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89.11980767308799</v>
      </c>
      <c r="D72" s="361">
        <f>C72</f>
        <v>89.11980767308799</v>
      </c>
      <c r="E72" s="74"/>
      <c r="F72" s="74"/>
      <c r="G72" s="362" t="s">
        <v>874</v>
      </c>
      <c r="H72" s="363" t="s">
        <v>1184</v>
      </c>
      <c r="I72" s="364"/>
      <c r="J72" s="365">
        <f>0.86*J71/1000</f>
        <v>14.695287435455997</v>
      </c>
      <c r="K72" s="364"/>
      <c r="L72" s="365">
        <f>0.86*L71/1000</f>
        <v>13.273162844927999</v>
      </c>
      <c r="M72" s="364"/>
      <c r="N72" s="366">
        <f>0.86*N71/1000</f>
        <v>14.695287435455997</v>
      </c>
      <c r="O72" s="364"/>
      <c r="P72" s="367">
        <f>0.86*P71/1000</f>
        <v>7.11062295264</v>
      </c>
      <c r="Q72" s="364"/>
      <c r="R72" s="368">
        <f>0.86*R71/1000</f>
        <v>0</v>
      </c>
      <c r="S72" s="364"/>
      <c r="T72" s="369">
        <f>0.86*T71/1000</f>
        <v>0</v>
      </c>
      <c r="U72" s="364"/>
      <c r="V72" s="367">
        <f>0.86*V71/1000</f>
        <v>0</v>
      </c>
      <c r="W72" s="364"/>
      <c r="X72" s="370">
        <f>0.86*X71/1000</f>
        <v>0</v>
      </c>
      <c r="Y72" s="364"/>
      <c r="Z72" s="370">
        <f>0.86*Z71/1000</f>
        <v>0</v>
      </c>
      <c r="AA72" s="364"/>
      <c r="AB72" s="369">
        <f>0.86*AB71/1000</f>
        <v>11.851038254399999</v>
      </c>
      <c r="AC72" s="364"/>
      <c r="AD72" s="369">
        <f>0.86*AD71/1000</f>
        <v>14.22124590528</v>
      </c>
      <c r="AE72" s="364"/>
      <c r="AF72" s="371">
        <f>0.86*AF71/1000</f>
        <v>14.695287435455997</v>
      </c>
      <c r="AG72" s="74"/>
      <c r="AH72" s="74"/>
      <c r="AI72" s="74"/>
      <c r="AJ72" s="74"/>
      <c r="AK72" s="74"/>
      <c r="AL72" s="74"/>
      <c r="AM72" s="74"/>
      <c r="AN72" s="74"/>
      <c r="AO72" s="74"/>
      <c r="AP72" s="74"/>
      <c r="AQ72" s="74"/>
      <c r="AR72" s="74"/>
      <c r="AS72" s="74"/>
      <c r="AT72" s="74"/>
      <c r="AU72" s="74"/>
    </row>
    <row r="73" spans="1:47" ht="8.25" customHeight="1" x14ac:dyDescent="0.3">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3">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5">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188.09302359006048</v>
      </c>
      <c r="D76" s="393">
        <f>D35/('Ввод исходных данных'!$G$45+'Ввод исходных данных'!$D$23)</f>
        <v>129.26656039875212</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0.16176000028745202</v>
      </c>
      <c r="D77" s="399">
        <f>D76*0.86/1000</f>
        <v>0.11116924194292682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3">
      <c r="A80" s="407">
        <f>D38</f>
        <v>258151.75354458211</v>
      </c>
      <c r="B80" s="408">
        <f>D62</f>
        <v>86580.1139893902</v>
      </c>
      <c r="C80" s="408">
        <f>D65</f>
        <v>14645.901293178629</v>
      </c>
      <c r="D80" s="409">
        <f>D68</f>
        <v>51813.84167039999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785" t="s">
        <v>1210</v>
      </c>
      <c r="B82" s="1785"/>
      <c r="C82" s="1785"/>
      <c r="D82" s="1785"/>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5" t="s">
        <v>834</v>
      </c>
      <c r="B83" s="1817" t="s">
        <v>1174</v>
      </c>
      <c r="C83" s="1821" t="s">
        <v>1338</v>
      </c>
      <c r="D83" s="1819" t="s">
        <v>1402</v>
      </c>
      <c r="E83" s="74"/>
      <c r="F83" s="74"/>
      <c r="G83" s="1827" t="s">
        <v>834</v>
      </c>
      <c r="H83" s="1818" t="s">
        <v>1174</v>
      </c>
      <c r="I83" s="1828" t="s">
        <v>488</v>
      </c>
      <c r="J83" s="1829"/>
      <c r="K83" s="1828" t="s">
        <v>489</v>
      </c>
      <c r="L83" s="1829"/>
      <c r="M83" s="1828" t="s">
        <v>490</v>
      </c>
      <c r="N83" s="1829"/>
      <c r="O83" s="1828" t="s">
        <v>491</v>
      </c>
      <c r="P83" s="1829"/>
      <c r="Q83" s="1828" t="s">
        <v>805</v>
      </c>
      <c r="R83" s="1829"/>
      <c r="S83" s="1828" t="s">
        <v>806</v>
      </c>
      <c r="T83" s="1829"/>
      <c r="U83" s="1828" t="s">
        <v>807</v>
      </c>
      <c r="V83" s="1829"/>
      <c r="W83" s="1828" t="s">
        <v>808</v>
      </c>
      <c r="X83" s="1829"/>
      <c r="Y83" s="1828" t="s">
        <v>809</v>
      </c>
      <c r="Z83" s="1829"/>
      <c r="AA83" s="1828" t="s">
        <v>482</v>
      </c>
      <c r="AB83" s="1829"/>
      <c r="AC83" s="1828" t="s">
        <v>486</v>
      </c>
      <c r="AD83" s="1829"/>
      <c r="AE83" s="1828" t="s">
        <v>487</v>
      </c>
      <c r="AF83" s="1829"/>
      <c r="AG83" s="74"/>
      <c r="AH83" s="74"/>
      <c r="AI83" s="74"/>
      <c r="AJ83" s="74"/>
      <c r="AK83" s="74"/>
      <c r="AL83" s="74"/>
      <c r="AM83" s="74"/>
      <c r="AN83" s="74"/>
      <c r="AO83" s="74"/>
      <c r="AP83" s="74"/>
      <c r="AQ83" s="74"/>
      <c r="AR83" s="74"/>
      <c r="AS83" s="74"/>
      <c r="AT83" s="74"/>
      <c r="AU83" s="74"/>
      <c r="AV83" s="74"/>
      <c r="AW83" s="74"/>
    </row>
    <row r="84" spans="1:55" ht="45.75" customHeight="1" x14ac:dyDescent="0.3">
      <c r="A84" s="1816"/>
      <c r="B84" s="1818"/>
      <c r="C84" s="1812"/>
      <c r="D84" s="1820"/>
      <c r="E84" s="74"/>
      <c r="F84" s="74"/>
      <c r="G84" s="1827"/>
      <c r="H84" s="1818"/>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231613.42297216901</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212312.30439115496</v>
      </c>
      <c r="E85" s="317"/>
      <c r="F85" s="419"/>
      <c r="G85" s="420" t="s">
        <v>1213</v>
      </c>
      <c r="H85" s="416" t="s">
        <v>842</v>
      </c>
      <c r="I85" s="421">
        <f>'Расчет базового уровня'!J85</f>
        <v>18724.532599999999</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8448.8250000000007</v>
      </c>
      <c r="K85" s="421">
        <f>'Расчет базового уровня'!L85</f>
        <v>19382.34866</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9053.7241666666669</v>
      </c>
      <c r="M85" s="421">
        <f>'Расчет базового уровня'!N85</f>
        <v>19474.458259999999</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9138.4241666666676</v>
      </c>
      <c r="O85" s="421">
        <f>'Расчет базового уровня'!P85</f>
        <v>23890.346000000001</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13199.083333333334</v>
      </c>
      <c r="Q85" s="421">
        <f>'Расчет базового уровня'!R85</f>
        <v>21418.110380000002</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10925.722500000002</v>
      </c>
      <c r="S85" s="421">
        <f>'Расчет базового уровня'!T85</f>
        <v>21046.322540000005</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10583.842500000001</v>
      </c>
      <c r="U85" s="421">
        <f>'Расчет базового уровня'!V85</f>
        <v>17895.546200000001</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7686.5250000000005</v>
      </c>
      <c r="W85" s="421">
        <f>'Расчет базового уровня'!X85</f>
        <v>16214.964680000001</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6141.1350000000011</v>
      </c>
      <c r="Y85" s="421">
        <f>'Расчет базового уровня'!Z85</f>
        <v>16753.177820000001</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6636.0524999999998</v>
      </c>
      <c r="AA85" s="421">
        <f>'Расчет базового уровня'!AB85</f>
        <v>18194.902399999999</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7961.8000000000011</v>
      </c>
      <c r="AC85" s="421">
        <f>'Расчет базового уровня'!AD85</f>
        <v>20466.939200000001</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10051.066666666668</v>
      </c>
      <c r="AE85" s="421">
        <f>'Расчет базового уровня'!AF85</f>
        <v>18752.933059999999</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8474.940833333334</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19301.118581014045</v>
      </c>
      <c r="E86" s="74">
        <f>D90*1.163*('Ввод исходных данных'!D107-E173)*(1+IF('Список мероприятий'!$AB$38=1,D174,'Расчет базового уровня'!$D$176))+'Ввод исходных данных'!$E$218*1.163*'Ввод исходных данных'!$D$113</f>
        <v>221848.90439115494</v>
      </c>
      <c r="F86" s="317"/>
      <c r="G86" s="423" t="s">
        <v>1339</v>
      </c>
      <c r="H86" s="416" t="s">
        <v>842</v>
      </c>
      <c r="I86" s="424"/>
      <c r="J86" s="424">
        <f>I85-J85</f>
        <v>10275.707599999998</v>
      </c>
      <c r="K86" s="424"/>
      <c r="L86" s="424">
        <f>K85-L85</f>
        <v>10328.624493333333</v>
      </c>
      <c r="M86" s="424"/>
      <c r="N86" s="424">
        <f>M85-N85</f>
        <v>10336.034093333332</v>
      </c>
      <c r="O86" s="424"/>
      <c r="P86" s="424">
        <f>O85-P85</f>
        <v>10691.262666666667</v>
      </c>
      <c r="Q86" s="424"/>
      <c r="R86" s="424">
        <f>Q85-R85</f>
        <v>10492.38788</v>
      </c>
      <c r="S86" s="424"/>
      <c r="T86" s="424">
        <f>S85-T85</f>
        <v>10462.480040000004</v>
      </c>
      <c r="U86" s="424"/>
      <c r="V86" s="424">
        <f>U85-V85</f>
        <v>10209.021199999999</v>
      </c>
      <c r="W86" s="424"/>
      <c r="X86" s="424">
        <f>W85-X85</f>
        <v>10073.829679999999</v>
      </c>
      <c r="Y86" s="424"/>
      <c r="Z86" s="424">
        <f>Y85-Z85</f>
        <v>10117.125320000001</v>
      </c>
      <c r="AA86" s="424"/>
      <c r="AB86" s="424">
        <f>AA85-AB85</f>
        <v>10233.102399999998</v>
      </c>
      <c r="AC86" s="424"/>
      <c r="AD86" s="424">
        <f>AC85-AD85</f>
        <v>10415.872533333333</v>
      </c>
      <c r="AE86" s="424"/>
      <c r="AF86" s="424">
        <f>AE85-AF85</f>
        <v>10277.992226666665</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8.3333333333333162E-2</v>
      </c>
      <c r="E87" s="317">
        <f>C85*D90/C90*(1+IF('Список мероприятий'!$AB$38=1,D174,'Расчет базового уровня'!$D$176))/(1+'Расчет базового уровня'!$D$176)+D178/0.86*1000</f>
        <v>212312.30439115496</v>
      </c>
      <c r="F87" s="74"/>
      <c r="G87" s="423" t="s">
        <v>874</v>
      </c>
      <c r="H87" s="416" t="s">
        <v>1181</v>
      </c>
      <c r="I87" s="425"/>
      <c r="J87" s="425">
        <f>IF(I85=0,0,J86/I85)</f>
        <v>0.54878312957194986</v>
      </c>
      <c r="K87" s="425"/>
      <c r="L87" s="425">
        <f>IF(K85=0,0,L86/K85)</f>
        <v>0.53288817957592827</v>
      </c>
      <c r="M87" s="425"/>
      <c r="N87" s="425">
        <f>IF(M85=0,0,N86/M85)</f>
        <v>0.53074822186778159</v>
      </c>
      <c r="O87" s="425"/>
      <c r="P87" s="425">
        <f>IF(O85=0,0,P86/O85)</f>
        <v>0.44751393163860692</v>
      </c>
      <c r="Q87" s="425"/>
      <c r="R87" s="425">
        <f>IF(Q85=0,0,R86/Q85)</f>
        <v>0.48988392037598599</v>
      </c>
      <c r="S87" s="425"/>
      <c r="T87" s="425">
        <f>IF(S85=0,0,T86/S85)</f>
        <v>0.49711677753276517</v>
      </c>
      <c r="U87" s="425"/>
      <c r="V87" s="425">
        <f>IF(U85=0,0,V86/U85)</f>
        <v>0.5704783238189175</v>
      </c>
      <c r="W87" s="425"/>
      <c r="X87" s="425">
        <f>IF(W85=0,0,X86/W85)</f>
        <v>0.62126744515363308</v>
      </c>
      <c r="Y87" s="425"/>
      <c r="Z87" s="425">
        <f>IF(Y85=0,0,Z86/Y85)</f>
        <v>0.603892910867462</v>
      </c>
      <c r="AA87" s="425"/>
      <c r="AB87" s="425">
        <f>IF(AA85=0,0,AB86/AA85)</f>
        <v>0.56241589952139559</v>
      </c>
      <c r="AC87" s="425"/>
      <c r="AD87" s="425">
        <f>IF(AC85=0,0,AD86/AC85)</f>
        <v>0.50891207676687356</v>
      </c>
      <c r="AE87" s="425"/>
      <c r="AF87" s="425">
        <f>IF(AE85=0,0,AF86/AE85)</f>
        <v>0.54807385030289579</v>
      </c>
      <c r="AG87" s="74"/>
      <c r="AH87" s="74"/>
      <c r="AI87" s="74"/>
      <c r="AJ87" s="74"/>
      <c r="AK87" s="74"/>
      <c r="AL87" s="74"/>
      <c r="AM87" s="74"/>
      <c r="AN87" s="74"/>
      <c r="AO87" s="74"/>
      <c r="AP87" s="74"/>
      <c r="AQ87" s="74"/>
      <c r="AR87" s="74"/>
      <c r="AS87" s="74"/>
      <c r="AT87" s="74"/>
      <c r="AU87" s="74"/>
    </row>
    <row r="88" spans="1:55" x14ac:dyDescent="0.3">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3">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1666.52</v>
      </c>
      <c r="D90" s="261">
        <f>C90*IF(AND('Система ГВС'!$F$17=0,'Список мероприятий'!$AB$39=1),0.9,1)</f>
        <v>1666.52</v>
      </c>
      <c r="E90" s="74"/>
      <c r="F90" s="74"/>
      <c r="G90" s="431" t="s">
        <v>1219</v>
      </c>
      <c r="H90" s="416" t="s">
        <v>1217</v>
      </c>
      <c r="I90" s="421">
        <f>'Расчет базового уровня'!J90</f>
        <v>119.7</v>
      </c>
      <c r="J90" s="261">
        <f>I90*IF(AND('Система ГВС'!$F$17=0,'Список мероприятий'!$AB$39=1),0.9,1)</f>
        <v>119.7</v>
      </c>
      <c r="K90" s="421">
        <f>'Расчет базового уровня'!L90</f>
        <v>128.27000000000001</v>
      </c>
      <c r="L90" s="261">
        <f>K90*IF(AND('Система ГВС'!$F$17=0,'Список мероприятий'!$AB$39=1),0.9,1)</f>
        <v>128.27000000000001</v>
      </c>
      <c r="M90" s="421">
        <f>'Расчет базового уровня'!N90</f>
        <v>129.47</v>
      </c>
      <c r="N90" s="261">
        <f>M90*IF(AND('Система ГВС'!$F$17=0,'Список мероприятий'!$AB$39=1),0.9,1)</f>
        <v>129.47</v>
      </c>
      <c r="O90" s="421">
        <f>'Расчет базового уровня'!P90</f>
        <v>187</v>
      </c>
      <c r="P90" s="261">
        <f>O90*IF(AND('Система ГВС'!$F$17=0,'Список мероприятий'!$AB$39=1),0.9,1)</f>
        <v>187</v>
      </c>
      <c r="Q90" s="421">
        <f>'Расчет базового уровня'!R90</f>
        <v>189.19</v>
      </c>
      <c r="R90" s="261">
        <f>Q90*IF(AND('Система ГВС'!$F$17=0,'Список мероприятий'!$AB$39=1),0.9,1)</f>
        <v>189.19</v>
      </c>
      <c r="S90" s="421">
        <f>'Расчет базового уровня'!T90</f>
        <v>183.27</v>
      </c>
      <c r="T90" s="261">
        <f>S90*IF(AND('Система ГВС'!$F$17=0,'Список мероприятий'!$AB$39=1),0.9,1)</f>
        <v>183.27</v>
      </c>
      <c r="U90" s="421">
        <f>'Расчет базового уровня'!V90</f>
        <v>133.1</v>
      </c>
      <c r="V90" s="261">
        <f>U90*IF(AND('Система ГВС'!$F$17=0,'Список мероприятий'!$AB$39=1),0.9,1)</f>
        <v>133.1</v>
      </c>
      <c r="W90" s="421">
        <f>'Расчет базового уровня'!X90</f>
        <v>106.34</v>
      </c>
      <c r="X90" s="261">
        <f>W90*IF(AND('Система ГВС'!$F$17=0,'Список мероприятий'!$AB$39=1),0.9,1)</f>
        <v>106.34</v>
      </c>
      <c r="Y90" s="421">
        <f>'Расчет базового уровня'!Z90</f>
        <v>114.91</v>
      </c>
      <c r="Z90" s="261">
        <f>Y90*IF(AND('Система ГВС'!$F$17=0,'Список мероприятий'!$AB$39=1),0.9,1)</f>
        <v>114.91</v>
      </c>
      <c r="AA90" s="421">
        <f>'Расчет базового уровня'!AB90</f>
        <v>112.8</v>
      </c>
      <c r="AB90" s="261">
        <f>AA90*IF(AND('Система ГВС'!$F$17=0,'Список мероприятий'!$AB$39=1),0.9,1)</f>
        <v>112.8</v>
      </c>
      <c r="AC90" s="421">
        <f>'Расчет базового уровня'!AD90</f>
        <v>142.4</v>
      </c>
      <c r="AD90" s="261">
        <f>AC90*IF(AND('Система ГВС'!$F$17=0,'Список мероприятий'!$AB$39=1),0.9,1)</f>
        <v>142.4</v>
      </c>
      <c r="AE90" s="421">
        <f>'Расчет базового уровня'!AF90</f>
        <v>120.07</v>
      </c>
      <c r="AF90" s="261">
        <f>AE90*IF(AND('Система ГВС'!$F$17=0,'Список мероприятий'!$AB$39=1),0.9,1)</f>
        <v>120.07</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97.345195213789339</v>
      </c>
      <c r="D93" s="433">
        <f>D85/('Ввод исходных данных'!$G$45+'Ввод исходных данных'!$D$23)</f>
        <v>89.233095612640255</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8.1120996011490956</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22" t="s">
        <v>834</v>
      </c>
      <c r="B98" s="1817" t="s">
        <v>1174</v>
      </c>
      <c r="C98" s="1826" t="s">
        <v>1338</v>
      </c>
      <c r="D98" s="1824" t="s">
        <v>1402</v>
      </c>
      <c r="E98" s="74"/>
      <c r="F98" s="74"/>
      <c r="G98" s="1822" t="s">
        <v>834</v>
      </c>
      <c r="H98" s="1817" t="s">
        <v>1174</v>
      </c>
      <c r="I98" s="1817" t="s">
        <v>488</v>
      </c>
      <c r="J98" s="1817"/>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23"/>
      <c r="B99" s="1818"/>
      <c r="C99" s="1827"/>
      <c r="D99" s="1825"/>
      <c r="E99" s="74"/>
      <c r="F99" s="74"/>
      <c r="G99" s="1823"/>
      <c r="H99" s="1818"/>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3245.599999999999</v>
      </c>
      <c r="D100" s="447">
        <f>D102+D104+D106+D111</f>
        <v>4181.5496260636455</v>
      </c>
      <c r="E100" s="317"/>
      <c r="F100" s="74"/>
      <c r="G100" s="446" t="s">
        <v>1225</v>
      </c>
      <c r="H100" s="416" t="s">
        <v>842</v>
      </c>
      <c r="I100" s="424">
        <f>'Расчет базового уровня'!J100</f>
        <v>272.50666666666666</v>
      </c>
      <c r="J100" s="448">
        <f>J102+J104+J106+J111</f>
        <v>404.03865786957692</v>
      </c>
      <c r="K100" s="424">
        <f>'Расчет базового уровня'!L100</f>
        <v>268.18666666666667</v>
      </c>
      <c r="L100" s="448">
        <f>L102+L104+L106+L111</f>
        <v>386.98975549510175</v>
      </c>
      <c r="M100" s="424">
        <f>'Расчет базового уровня'!N100</f>
        <v>272.50666666666666</v>
      </c>
      <c r="N100" s="448">
        <f>N102+N104+N106+N111</f>
        <v>404.03865786957692</v>
      </c>
      <c r="O100" s="424">
        <f>'Расчет базового уровня'!P100</f>
        <v>271.06666666666666</v>
      </c>
      <c r="P100" s="448">
        <f>P102+P104+P106+P111</f>
        <v>339.62809607476038</v>
      </c>
      <c r="Q100" s="424">
        <f>'Расчет базового уровня'!R100</f>
        <v>272.50666666666666</v>
      </c>
      <c r="R100" s="448">
        <f>R102+R104+R106+R111</f>
        <v>289.51849993721044</v>
      </c>
      <c r="S100" s="424">
        <f>'Расчет базового уровня'!T100</f>
        <v>271.06666666666666</v>
      </c>
      <c r="T100" s="448">
        <f>T102+T104+T106+T111</f>
        <v>287.52973112203165</v>
      </c>
      <c r="U100" s="424">
        <f>'Расчет базового уровня'!V100</f>
        <v>258.10666666666663</v>
      </c>
      <c r="V100" s="449">
        <f>V102+V104+V106+V111</f>
        <v>269.63081178542211</v>
      </c>
      <c r="W100" s="424">
        <f>'Расчет базового уровня'!X100</f>
        <v>272.50666666666666</v>
      </c>
      <c r="X100" s="448">
        <f>X102+X104+X106+X111</f>
        <v>289.51849993721044</v>
      </c>
      <c r="Y100" s="424">
        <f>'Расчет базового уровня'!Z100</f>
        <v>271.06666666666666</v>
      </c>
      <c r="Z100" s="448">
        <f>Z102+Z104+Z106+Z111</f>
        <v>287.52973112203165</v>
      </c>
      <c r="AA100" s="424">
        <f>'Расчет базового уровня'!AB100</f>
        <v>272.50666666666666</v>
      </c>
      <c r="AB100" s="450">
        <f>AB102+AB104+AB106+AB111</f>
        <v>376.34910819175832</v>
      </c>
      <c r="AC100" s="424">
        <f>'Расчет базового уровня'!AD100</f>
        <v>271.06666666666666</v>
      </c>
      <c r="AD100" s="424">
        <f>AD102+AD104+AD106+AD111</f>
        <v>398.35569041141855</v>
      </c>
      <c r="AE100" s="424">
        <f>'Расчет базового уровня'!AF100</f>
        <v>272.50666666666666</v>
      </c>
      <c r="AF100" s="451">
        <f>AF102+AF104+AF106+AF111</f>
        <v>404.03865786957692</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0.2883749155976234</v>
      </c>
      <c r="E101" s="74"/>
      <c r="F101" s="74"/>
      <c r="G101" s="452" t="s">
        <v>1340</v>
      </c>
      <c r="H101" s="416" t="s">
        <v>1181</v>
      </c>
      <c r="I101" s="428"/>
      <c r="J101" s="425">
        <f>IF(I100=0,0,J100/I100-1)</f>
        <v>0.48267439770125597</v>
      </c>
      <c r="K101" s="428"/>
      <c r="L101" s="425">
        <f>IF(K100=0,0,L100/K100-1)</f>
        <v>0.44298655971624901</v>
      </c>
      <c r="M101" s="428"/>
      <c r="N101" s="425">
        <f>IF(M100=0,0,N100/M100-1)</f>
        <v>0.48267439770125597</v>
      </c>
      <c r="O101" s="428"/>
      <c r="P101" s="425">
        <f>IF(O100=0,0,P100/O100-1)</f>
        <v>0.25293198256797966</v>
      </c>
      <c r="Q101" s="428"/>
      <c r="R101" s="425">
        <f>IF(Q100=0,0,R100/Q100-1)</f>
        <v>6.2427218675544793E-2</v>
      </c>
      <c r="S101" s="428"/>
      <c r="T101" s="425">
        <f>IF(S100=0,0,T100/S100-1)</f>
        <v>6.0734374527908308E-2</v>
      </c>
      <c r="U101" s="428"/>
      <c r="V101" s="425">
        <f>IF(U100=0,0,V100/U100-1)</f>
        <v>4.4648769702792634E-2</v>
      </c>
      <c r="W101" s="428"/>
      <c r="X101" s="425">
        <f>IF(W100=0,0,X100/W100-1)</f>
        <v>6.2427218675544793E-2</v>
      </c>
      <c r="Y101" s="428"/>
      <c r="Z101" s="425">
        <f>IF(Y100=0,0,Z100/Y100-1)</f>
        <v>6.0734374527908308E-2</v>
      </c>
      <c r="AA101" s="428"/>
      <c r="AB101" s="425">
        <f>IF(AA100=0,0,AB100/AA100-1)</f>
        <v>0.38106385724541902</v>
      </c>
      <c r="AC101" s="428"/>
      <c r="AD101" s="425">
        <f>IF(AC100=0,0,AD100/AC100-1)</f>
        <v>0.46958567539874041</v>
      </c>
      <c r="AE101" s="428"/>
      <c r="AF101" s="453">
        <f>IF(AE100=0,0,AF100/AE100-1)</f>
        <v>0.48267439770125597</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2734.3999999999992</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2734.3999999999992</v>
      </c>
      <c r="E102" s="455"/>
      <c r="F102" s="74"/>
      <c r="G102" s="454" t="s">
        <v>1226</v>
      </c>
      <c r="H102" s="416" t="s">
        <v>842</v>
      </c>
      <c r="I102" s="424">
        <f>'Расчет базового уровня'!J102</f>
        <v>227.86666666666667</v>
      </c>
      <c r="J102" s="424">
        <f>$D$102/12</f>
        <v>227.86666666666659</v>
      </c>
      <c r="K102" s="424">
        <f>'Расчет базового уровня'!L102</f>
        <v>227.86666666666667</v>
      </c>
      <c r="L102" s="424">
        <f>$D$102/12</f>
        <v>227.86666666666659</v>
      </c>
      <c r="M102" s="424">
        <f>'Расчет базового уровня'!N102</f>
        <v>227.86666666666667</v>
      </c>
      <c r="N102" s="424">
        <f>$D$102/12</f>
        <v>227.86666666666659</v>
      </c>
      <c r="O102" s="424">
        <f>'Расчет базового уровня'!P102</f>
        <v>227.86666666666667</v>
      </c>
      <c r="P102" s="424">
        <f>$D$102/12</f>
        <v>227.86666666666659</v>
      </c>
      <c r="Q102" s="424">
        <f>'Расчет базового уровня'!R102</f>
        <v>227.86666666666667</v>
      </c>
      <c r="R102" s="424">
        <f>$D$102/12</f>
        <v>227.86666666666659</v>
      </c>
      <c r="S102" s="424">
        <f>'Расчет базового уровня'!T102</f>
        <v>227.86666666666667</v>
      </c>
      <c r="T102" s="424">
        <f>$D$102/12</f>
        <v>227.86666666666659</v>
      </c>
      <c r="U102" s="424">
        <f>'Расчет базового уровня'!V102</f>
        <v>227.86666666666667</v>
      </c>
      <c r="V102" s="450">
        <f>$D$102/12</f>
        <v>227.86666666666659</v>
      </c>
      <c r="W102" s="424">
        <f>'Расчет базового уровня'!X102</f>
        <v>227.86666666666667</v>
      </c>
      <c r="X102" s="424">
        <f>$D$102/12</f>
        <v>227.86666666666659</v>
      </c>
      <c r="Y102" s="424">
        <f>'Расчет базового уровня'!Z102</f>
        <v>227.86666666666667</v>
      </c>
      <c r="Z102" s="424">
        <f>$D$102/12</f>
        <v>227.86666666666659</v>
      </c>
      <c r="AA102" s="424">
        <f>'Расчет базового уровня'!AB102</f>
        <v>227.86666666666667</v>
      </c>
      <c r="AB102" s="450">
        <f>$D$102/12</f>
        <v>227.86666666666659</v>
      </c>
      <c r="AC102" s="424">
        <f>'Расчет базового уровня'!AD102</f>
        <v>227.86666666666667</v>
      </c>
      <c r="AD102" s="424">
        <f>$D$102/12</f>
        <v>227.86666666666659</v>
      </c>
      <c r="AE102" s="424">
        <f>'Расчет базового уровня'!AF102</f>
        <v>227.86666666666667</v>
      </c>
      <c r="AF102" s="451">
        <f>$D$102/12</f>
        <v>227.86666666666659</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-3.3306690738754696E-16</v>
      </c>
      <c r="K103" s="428"/>
      <c r="L103" s="425">
        <f>IF(K102=0,0,L102/K102-1)</f>
        <v>-3.3306690738754696E-16</v>
      </c>
      <c r="M103" s="428"/>
      <c r="N103" s="425">
        <f>IF(M102=0,0,N102/M102-1)</f>
        <v>-3.3306690738754696E-16</v>
      </c>
      <c r="O103" s="428"/>
      <c r="P103" s="425">
        <f>IF(O102=0,0,P102/O102-1)</f>
        <v>-3.3306690738754696E-16</v>
      </c>
      <c r="Q103" s="428"/>
      <c r="R103" s="425">
        <f>IF(Q102=0,0,R102/Q102-1)</f>
        <v>-3.3306690738754696E-16</v>
      </c>
      <c r="S103" s="428"/>
      <c r="T103" s="425">
        <f>IF(S102=0,0,T102/S102-1)</f>
        <v>-3.3306690738754696E-16</v>
      </c>
      <c r="U103" s="428"/>
      <c r="V103" s="425">
        <f>IF(U102=0,0,V102/U102-1)</f>
        <v>-3.3306690738754696E-16</v>
      </c>
      <c r="W103" s="428"/>
      <c r="X103" s="425">
        <f>IF(W102=0,0,X102/W102-1)</f>
        <v>-3.3306690738754696E-16</v>
      </c>
      <c r="Y103" s="428"/>
      <c r="Z103" s="425">
        <f>IF(Y102=0,0,Z102/Y102-1)</f>
        <v>-3.3306690738754696E-16</v>
      </c>
      <c r="AA103" s="428"/>
      <c r="AB103" s="425">
        <f>IF(AA102=0,0,AB102/AA102-1)</f>
        <v>-3.3306690738754696E-16</v>
      </c>
      <c r="AC103" s="428"/>
      <c r="AD103" s="425">
        <f>IF(AC102=0,0,AD102/AC102-1)</f>
        <v>-3.3306690738754696E-16</v>
      </c>
      <c r="AE103" s="428"/>
      <c r="AF103" s="453">
        <f>IF(AE102=0,0,AF102/AE102-1)</f>
        <v>-3.3306690738754696E-16</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17"/>
      <c r="F104" s="456"/>
      <c r="G104" s="454" t="s">
        <v>1233</v>
      </c>
      <c r="H104" s="416" t="s">
        <v>842</v>
      </c>
      <c r="I104" s="424">
        <f>'Расчет базового уровня'!J104</f>
        <v>0</v>
      </c>
      <c r="J104" s="424">
        <f>D104/12</f>
        <v>0</v>
      </c>
      <c r="K104" s="424">
        <f>'Расчет базового уровня'!L104</f>
        <v>0</v>
      </c>
      <c r="L104" s="424">
        <f>J104</f>
        <v>0</v>
      </c>
      <c r="M104" s="424">
        <f>'Расчет базового уровня'!N104</f>
        <v>0</v>
      </c>
      <c r="N104" s="428">
        <f>L104</f>
        <v>0</v>
      </c>
      <c r="O104" s="424">
        <f>'Расчет базового уровня'!P104</f>
        <v>0</v>
      </c>
      <c r="P104" s="428">
        <f>N104</f>
        <v>0</v>
      </c>
      <c r="Q104" s="424">
        <f>'Расчет базового уровня'!R104</f>
        <v>0</v>
      </c>
      <c r="R104" s="428">
        <f>P104</f>
        <v>0</v>
      </c>
      <c r="S104" s="424">
        <f>'Расчет базового уровня'!T104</f>
        <v>0</v>
      </c>
      <c r="T104" s="428">
        <f>R104</f>
        <v>0</v>
      </c>
      <c r="U104" s="424">
        <f>'Расчет базового уровня'!V104</f>
        <v>0</v>
      </c>
      <c r="V104" s="457">
        <f>T104</f>
        <v>0</v>
      </c>
      <c r="W104" s="424">
        <f>'Расчет базового уровня'!X104</f>
        <v>0</v>
      </c>
      <c r="X104" s="428">
        <f>V104</f>
        <v>0</v>
      </c>
      <c r="Y104" s="424">
        <f>'Расчет базового уровня'!Z104</f>
        <v>0</v>
      </c>
      <c r="Z104" s="428">
        <f>X104</f>
        <v>0</v>
      </c>
      <c r="AA104" s="424">
        <f>'Расчет базового уровня'!AB104</f>
        <v>0</v>
      </c>
      <c r="AB104" s="457">
        <f>Z104</f>
        <v>0</v>
      </c>
      <c r="AC104" s="424">
        <f>'Расчет базового уровня'!AD104</f>
        <v>0</v>
      </c>
      <c r="AD104" s="428">
        <f>AB104</f>
        <v>0</v>
      </c>
      <c r="AE104" s="424">
        <f>'Расчет базового уровня'!AF104</f>
        <v>0</v>
      </c>
      <c r="AF104" s="458">
        <f>AD104</f>
        <v>0</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0</v>
      </c>
      <c r="K105" s="428"/>
      <c r="L105" s="425">
        <f>IF(K104=0,0,L104/K104-1)</f>
        <v>0</v>
      </c>
      <c r="M105" s="428"/>
      <c r="N105" s="425">
        <f>IF(M104=0,0,N104/M104-1)</f>
        <v>0</v>
      </c>
      <c r="O105" s="428"/>
      <c r="P105" s="425">
        <f>IF(O104=0,0,P104/O104-1)</f>
        <v>0</v>
      </c>
      <c r="Q105" s="428"/>
      <c r="R105" s="425">
        <f>IF(Q104=0,0,R104/Q104-1)</f>
        <v>0</v>
      </c>
      <c r="S105" s="428"/>
      <c r="T105" s="425">
        <f>IF(S104=0,0,T104/S104-1)</f>
        <v>0</v>
      </c>
      <c r="U105" s="428"/>
      <c r="V105" s="425">
        <f>IF(U104=0,0,V104/U104-1)</f>
        <v>0</v>
      </c>
      <c r="W105" s="428"/>
      <c r="X105" s="425">
        <f>IF(W104=0,0,X104/W104-1)</f>
        <v>0</v>
      </c>
      <c r="Y105" s="428"/>
      <c r="Z105" s="425">
        <f>IF(Y104=0,0,Z104/Y104-1)</f>
        <v>0</v>
      </c>
      <c r="AA105" s="428"/>
      <c r="AB105" s="425">
        <f>IF(AA104=0,0,AB104/AA104-1)</f>
        <v>0</v>
      </c>
      <c r="AC105" s="428"/>
      <c r="AD105" s="425">
        <f>IF(AC104=0,0,AD104/AC104-1)</f>
        <v>0</v>
      </c>
      <c r="AE105" s="428"/>
      <c r="AF105" s="453">
        <f>IF(AE104=0,0,AF104/AE104-1)</f>
        <v>0</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511.2</v>
      </c>
      <c r="D106" s="447">
        <f>D108+D109+D110</f>
        <v>1447.1496260636463</v>
      </c>
      <c r="E106" s="317"/>
      <c r="F106" s="317"/>
      <c r="G106" s="454" t="s">
        <v>1234</v>
      </c>
      <c r="H106" s="416" t="s">
        <v>842</v>
      </c>
      <c r="I106" s="424">
        <f>'Расчет базового уровня'!J106</f>
        <v>44.64</v>
      </c>
      <c r="J106" s="447">
        <f>J108+J109+J110</f>
        <v>176.17199120291033</v>
      </c>
      <c r="K106" s="424">
        <f>'Расчет базового уровня'!L106</f>
        <v>40.32</v>
      </c>
      <c r="L106" s="447">
        <f>L108+L109+L110</f>
        <v>159.12308882843516</v>
      </c>
      <c r="M106" s="424">
        <f>'Расчет базового уровня'!N106</f>
        <v>44.64</v>
      </c>
      <c r="N106" s="447">
        <f>N108+N109+N110</f>
        <v>176.17199120291033</v>
      </c>
      <c r="O106" s="424">
        <f>'Расчет базового уровня'!P106</f>
        <v>43.199999999999996</v>
      </c>
      <c r="P106" s="447">
        <f>P108+P109+P110</f>
        <v>111.76142940809379</v>
      </c>
      <c r="Q106" s="424">
        <f>'Расчет базового уровня'!R106</f>
        <v>44.64</v>
      </c>
      <c r="R106" s="447">
        <f>R108+R109+R110</f>
        <v>61.651833270543875</v>
      </c>
      <c r="S106" s="424">
        <f>'Расчет базового уровня'!T106</f>
        <v>43.199999999999996</v>
      </c>
      <c r="T106" s="447">
        <f>T108+T109+T110</f>
        <v>59.663064455365046</v>
      </c>
      <c r="U106" s="424">
        <f>'Расчет базового уровня'!V106</f>
        <v>30.240000000000002</v>
      </c>
      <c r="V106" s="447">
        <f>V108+V109+V110</f>
        <v>41.764145118755529</v>
      </c>
      <c r="W106" s="424">
        <f>'Расчет базового уровня'!X106</f>
        <v>44.64</v>
      </c>
      <c r="X106" s="447">
        <f>X108+X109+X110</f>
        <v>61.651833270543875</v>
      </c>
      <c r="Y106" s="424">
        <f>'Расчет базового уровня'!Z106</f>
        <v>43.199999999999996</v>
      </c>
      <c r="Z106" s="447">
        <f>Z108+Z109+Z110</f>
        <v>59.663064455365046</v>
      </c>
      <c r="AA106" s="424">
        <f>'Расчет базового уровня'!AB106</f>
        <v>44.64</v>
      </c>
      <c r="AB106" s="447">
        <f>AB108+AB109+AB110</f>
        <v>148.48244152509176</v>
      </c>
      <c r="AC106" s="424">
        <f>'Расчет базового уровня'!AD106</f>
        <v>43.199999999999996</v>
      </c>
      <c r="AD106" s="447">
        <f>AD108+AD109+AD110</f>
        <v>170.48902374475193</v>
      </c>
      <c r="AE106" s="424">
        <f>'Расчет базового уровня'!AF106</f>
        <v>44.64</v>
      </c>
      <c r="AF106" s="447">
        <f>AF108+AF109+AF110</f>
        <v>176.17199120291033</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1.8308873749288859</v>
      </c>
      <c r="E107" s="74"/>
      <c r="F107" s="74"/>
      <c r="G107" s="452" t="s">
        <v>1340</v>
      </c>
      <c r="H107" s="416" t="s">
        <v>1181</v>
      </c>
      <c r="I107" s="428"/>
      <c r="J107" s="425">
        <f>IF(I106=0,0,J106/I106-1)</f>
        <v>2.9465051792766652</v>
      </c>
      <c r="K107" s="428"/>
      <c r="L107" s="425">
        <f>IF(K106=0,0,L106/K106-1)</f>
        <v>2.9465051792766657</v>
      </c>
      <c r="M107" s="428"/>
      <c r="N107" s="425">
        <f>IF(M106=0,0,N106/M106-1)</f>
        <v>2.9465051792766652</v>
      </c>
      <c r="O107" s="428"/>
      <c r="P107" s="425">
        <f>IF(O106=0,0,P106/O106-1)</f>
        <v>1.5870701251873567</v>
      </c>
      <c r="Q107" s="428"/>
      <c r="R107" s="425">
        <f>IF(Q106=0,0,R106/Q106-1)</f>
        <v>0.38108945498530189</v>
      </c>
      <c r="S107" s="428"/>
      <c r="T107" s="425">
        <f>IF(S106=0,0,T106/S106-1)</f>
        <v>0.38108945498530211</v>
      </c>
      <c r="U107" s="428"/>
      <c r="V107" s="425">
        <f>IF(U106=0,0,V106/U106-1)</f>
        <v>0.38108945498530189</v>
      </c>
      <c r="W107" s="428"/>
      <c r="X107" s="425">
        <f>IF(W106=0,0,X106/W106-1)</f>
        <v>0.38108945498530189</v>
      </c>
      <c r="Y107" s="428"/>
      <c r="Z107" s="425">
        <f>IF(Y106=0,0,Z106/Y106-1)</f>
        <v>0.38108945498530211</v>
      </c>
      <c r="AA107" s="428"/>
      <c r="AB107" s="425">
        <f>IF(AA106=0,0,AB106/AA106-1)</f>
        <v>2.3262195682144209</v>
      </c>
      <c r="AC107" s="428"/>
      <c r="AD107" s="425">
        <f>IF(AC106=0,0,AD106/AC106-1)</f>
        <v>2.9465051792766657</v>
      </c>
      <c r="AE107" s="428"/>
      <c r="AF107" s="453">
        <f>IF(AE106=0,0,AF106/AE106-1)</f>
        <v>2.9465051792766652</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663.38584706474592</v>
      </c>
      <c r="E108" s="419"/>
      <c r="F108" s="74"/>
      <c r="G108" s="452" t="s">
        <v>998</v>
      </c>
      <c r="H108" s="416" t="s">
        <v>842</v>
      </c>
      <c r="I108" s="428"/>
      <c r="J108" s="459">
        <f>'Система электроснабжения'!$E$51</f>
        <v>107.66995423563938</v>
      </c>
      <c r="K108" s="428"/>
      <c r="L108" s="459">
        <f>'Система электроснабжения'!$F$51</f>
        <v>97.250281245093646</v>
      </c>
      <c r="M108" s="428"/>
      <c r="N108" s="459">
        <f>'Система электроснабжения'!$G$50</f>
        <v>107.66995423563938</v>
      </c>
      <c r="O108" s="428"/>
      <c r="P108" s="459">
        <f>'Система электроснабжения'!$H$50</f>
        <v>52.098364952728737</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86.830608254547897</v>
      </c>
      <c r="AC108" s="428"/>
      <c r="AD108" s="459">
        <f>'Система электроснабжения'!$O$50</f>
        <v>104.19672990545747</v>
      </c>
      <c r="AE108" s="428"/>
      <c r="AF108" s="459">
        <f>'Система электроснабжения'!$P$50</f>
        <v>107.66995423563938</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511.2</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783.76377899890053</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68.502036967270953</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61.872807583341505</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68.502036967270953</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59.663064455365046</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61.651833270543875</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59.663064455365046</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41.764145118755529</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61.651833270543875</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59.663064455365046</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61.651833270543875</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66.292293839294473</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68.502036967270953</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1.3640986844870335</v>
      </c>
      <c r="D115" s="465">
        <f>D100/('Ввод исходных данных'!$G$45+'Ввод исходных данных'!$D$23)</f>
        <v>1.7574705274928111</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1217.9000000000001</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0.84977584737043255</v>
      </c>
      <c r="D134" s="481">
        <v>1</v>
      </c>
      <c r="E134" s="483">
        <f>IF(C134=0,0,B134/C134*D134)*(1-D163)</f>
        <v>1433.2014775057446</v>
      </c>
      <c r="F134" s="484">
        <f>E134*(20-$D$145)</f>
        <v>55894.857622724041</v>
      </c>
      <c r="G134" s="483">
        <f t="shared" ref="G134:R134" si="0">$E$134*0.024*G$147</f>
        <v>23138.751214034743</v>
      </c>
      <c r="H134" s="483">
        <f t="shared" si="0"/>
        <v>19647.47241483075</v>
      </c>
      <c r="I134" s="483">
        <f t="shared" si="0"/>
        <v>17380.720958007667</v>
      </c>
      <c r="J134" s="483">
        <f t="shared" si="0"/>
        <v>6088.2398764444033</v>
      </c>
      <c r="K134" s="483">
        <f t="shared" si="0"/>
        <v>0</v>
      </c>
      <c r="L134" s="483">
        <f t="shared" si="0"/>
        <v>0</v>
      </c>
      <c r="M134" s="483">
        <f t="shared" si="0"/>
        <v>0</v>
      </c>
      <c r="N134" s="483">
        <f t="shared" si="0"/>
        <v>0</v>
      </c>
      <c r="O134" s="483">
        <f t="shared" si="0"/>
        <v>0</v>
      </c>
      <c r="P134" s="483">
        <f t="shared" si="0"/>
        <v>11608.931967796532</v>
      </c>
      <c r="Q134" s="483">
        <f t="shared" si="0"/>
        <v>16923.24304638783</v>
      </c>
      <c r="R134" s="483">
        <f t="shared" si="0"/>
        <v>18660.283237124797</v>
      </c>
      <c r="S134" s="485"/>
      <c r="T134" s="74"/>
      <c r="U134" s="74"/>
      <c r="V134" s="74"/>
      <c r="W134" s="74"/>
      <c r="X134" s="74"/>
      <c r="Y134" s="74"/>
      <c r="Z134" s="74"/>
      <c r="AA134" s="74"/>
      <c r="AB134" s="74"/>
    </row>
    <row r="135" spans="1:55" x14ac:dyDescent="0.3">
      <c r="A135" s="480" t="s">
        <v>611</v>
      </c>
      <c r="B135" s="481">
        <f>'Расчет базового уровня'!B135</f>
        <v>324</v>
      </c>
      <c r="C135" s="481">
        <f>'Расчет базового уровня'!C135</f>
        <v>0.55086956521739139</v>
      </c>
      <c r="D135" s="481">
        <v>1</v>
      </c>
      <c r="E135" s="483">
        <f t="shared" ref="E135:E141" si="1">IF(C135=0,0,B135/C135*D135)</f>
        <v>588.16101026045772</v>
      </c>
      <c r="F135" s="484">
        <f t="shared" ref="F135:F143" si="2">E135*(20-$D$145)</f>
        <v>22938.279400157851</v>
      </c>
      <c r="G135" s="483">
        <f t="shared" ref="G135:R135" si="3">$E$135*0.024*G$147</f>
        <v>9495.7418784530382</v>
      </c>
      <c r="H135" s="483">
        <f t="shared" si="3"/>
        <v>8062.981657458562</v>
      </c>
      <c r="I135" s="483">
        <f t="shared" si="3"/>
        <v>7132.7462036306233</v>
      </c>
      <c r="J135" s="483">
        <f t="shared" si="3"/>
        <v>2498.5079715864244</v>
      </c>
      <c r="K135" s="483">
        <f t="shared" si="3"/>
        <v>0</v>
      </c>
      <c r="L135" s="483">
        <f t="shared" si="3"/>
        <v>0</v>
      </c>
      <c r="M135" s="483">
        <f t="shared" si="3"/>
        <v>0</v>
      </c>
      <c r="N135" s="483">
        <f t="shared" si="3"/>
        <v>0</v>
      </c>
      <c r="O135" s="483">
        <f t="shared" si="3"/>
        <v>0</v>
      </c>
      <c r="P135" s="483">
        <f t="shared" si="3"/>
        <v>4764.1041831097082</v>
      </c>
      <c r="Q135" s="483">
        <f t="shared" si="3"/>
        <v>6945.0052091554844</v>
      </c>
      <c r="R135" s="483">
        <f t="shared" si="3"/>
        <v>7657.8563535911599</v>
      </c>
      <c r="S135" s="485"/>
      <c r="T135" s="74"/>
      <c r="U135" s="74"/>
      <c r="V135" s="74"/>
      <c r="W135" s="74"/>
      <c r="X135" s="74"/>
      <c r="Y135" s="74"/>
      <c r="Z135" s="74"/>
      <c r="AA135" s="74"/>
      <c r="AB135" s="74"/>
    </row>
    <row r="136" spans="1:55" x14ac:dyDescent="0.3">
      <c r="A136" s="480" t="s">
        <v>612</v>
      </c>
      <c r="B136" s="481">
        <f>'Расчет базового уровня'!B136</f>
        <v>16.100000000000001</v>
      </c>
      <c r="C136" s="481">
        <f>IF('Список мероприятий'!AB14=1,VLOOKUP('Список мероприятий'!D15,'Библиотека технологий'!A40:B47,2,0),'Расчет базового уровня'!C136)</f>
        <v>0.4</v>
      </c>
      <c r="D136" s="481">
        <v>1</v>
      </c>
      <c r="E136" s="483">
        <f t="shared" si="1"/>
        <v>40.25</v>
      </c>
      <c r="F136" s="484">
        <f t="shared" si="2"/>
        <v>1569.75</v>
      </c>
      <c r="G136" s="483">
        <f t="shared" ref="G136:R136" si="4">$E$136*0.024*G$147</f>
        <v>649.82819999999992</v>
      </c>
      <c r="H136" s="483">
        <f t="shared" si="4"/>
        <v>551.77919999999995</v>
      </c>
      <c r="I136" s="483">
        <f t="shared" si="4"/>
        <v>488.1198</v>
      </c>
      <c r="J136" s="483">
        <f t="shared" si="4"/>
        <v>170.982</v>
      </c>
      <c r="K136" s="483">
        <f t="shared" si="4"/>
        <v>0</v>
      </c>
      <c r="L136" s="483">
        <f t="shared" si="4"/>
        <v>0</v>
      </c>
      <c r="M136" s="483">
        <f t="shared" si="4"/>
        <v>0</v>
      </c>
      <c r="N136" s="483">
        <f t="shared" si="4"/>
        <v>0</v>
      </c>
      <c r="O136" s="483">
        <f t="shared" si="4"/>
        <v>0</v>
      </c>
      <c r="P136" s="483">
        <f t="shared" si="4"/>
        <v>326.02499999999998</v>
      </c>
      <c r="Q136" s="483">
        <f t="shared" si="4"/>
        <v>475.27199999999993</v>
      </c>
      <c r="R136" s="483">
        <f t="shared" si="4"/>
        <v>524.05499999999995</v>
      </c>
      <c r="S136" s="485"/>
      <c r="T136" s="74"/>
      <c r="U136" s="74"/>
      <c r="V136" s="74"/>
      <c r="W136" s="74"/>
      <c r="X136" s="74"/>
      <c r="Y136" s="74"/>
      <c r="Z136" s="74"/>
      <c r="AA136" s="74"/>
      <c r="AB136" s="74"/>
    </row>
    <row r="137" spans="1:55" x14ac:dyDescent="0.3">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3">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528</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636.03692307692302</v>
      </c>
      <c r="F140" s="484">
        <f t="shared" si="2"/>
        <v>24805.439999999999</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3">
      <c r="A142" s="480" t="s">
        <v>1328</v>
      </c>
      <c r="B142" s="481">
        <f>'Расчет базового уровня'!B142</f>
        <v>528</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86">
        <f>('Ввод исходных данных'!D83-'Расчет базового уровня'!$D$160)/('Ввод исходных данных'!D83-'Расчет базового уровня'!$D$145)</f>
        <v>0.46153846153846156</v>
      </c>
      <c r="E142" s="483">
        <f>IF(C142=0,0,B142/C142*D142)</f>
        <v>543.6213017751478</v>
      </c>
      <c r="F142" s="484">
        <f t="shared" si="2"/>
        <v>21201.230769230766</v>
      </c>
      <c r="G142" s="483">
        <f t="shared" ref="G142:R142" si="8">$E$142*0.024*G$147</f>
        <v>8776.6571928994053</v>
      </c>
      <c r="H142" s="483">
        <f t="shared" si="8"/>
        <v>7452.3957017751454</v>
      </c>
      <c r="I142" s="483">
        <f t="shared" si="8"/>
        <v>6592.6042508875726</v>
      </c>
      <c r="J142" s="483">
        <f t="shared" si="8"/>
        <v>2309.3032899408281</v>
      </c>
      <c r="K142" s="483">
        <f t="shared" si="8"/>
        <v>0</v>
      </c>
      <c r="L142" s="483">
        <f t="shared" si="8"/>
        <v>0</v>
      </c>
      <c r="M142" s="483">
        <f t="shared" si="8"/>
        <v>0</v>
      </c>
      <c r="N142" s="483">
        <f t="shared" si="8"/>
        <v>0</v>
      </c>
      <c r="O142" s="483">
        <f t="shared" si="8"/>
        <v>0</v>
      </c>
      <c r="P142" s="483">
        <f t="shared" si="8"/>
        <v>4403.3325443786971</v>
      </c>
      <c r="Q142" s="483">
        <f t="shared" si="8"/>
        <v>6419.0803313609449</v>
      </c>
      <c r="R142" s="483">
        <f t="shared" si="8"/>
        <v>7077.9493491124249</v>
      </c>
      <c r="S142" s="485"/>
      <c r="T142" s="74"/>
      <c r="U142" s="74"/>
      <c r="V142" s="74"/>
      <c r="W142" s="74"/>
      <c r="X142" s="74"/>
      <c r="Y142" s="74"/>
      <c r="Z142" s="74"/>
      <c r="AA142" s="74"/>
      <c r="AB142" s="74"/>
    </row>
    <row r="143" spans="1:55" x14ac:dyDescent="0.3">
      <c r="A143" s="480" t="s">
        <v>1231</v>
      </c>
      <c r="B143" s="481">
        <f>'Расчет базового уровня'!B143</f>
        <v>10</v>
      </c>
      <c r="C143" s="481">
        <f>IF('Список мероприятий'!AB73=1,0.95,'Расчет базового уровня'!C143)</f>
        <v>0.5</v>
      </c>
      <c r="D143" s="486">
        <v>1</v>
      </c>
      <c r="E143" s="483">
        <f>IF(C143=0,0,B143/C143*D143)</f>
        <v>20</v>
      </c>
      <c r="F143" s="484">
        <f t="shared" si="2"/>
        <v>780</v>
      </c>
      <c r="G143" s="483">
        <f>$E$143*0.024*G$147</f>
        <v>322.89599999999996</v>
      </c>
      <c r="H143" s="483">
        <f t="shared" ref="H143:R143" si="9">$E$143*0.024*H$147</f>
        <v>274.17599999999993</v>
      </c>
      <c r="I143" s="483">
        <f t="shared" si="9"/>
        <v>242.54399999999998</v>
      </c>
      <c r="J143" s="483">
        <f t="shared" si="9"/>
        <v>84.96</v>
      </c>
      <c r="K143" s="483">
        <f t="shared" si="9"/>
        <v>0</v>
      </c>
      <c r="L143" s="483">
        <f t="shared" si="9"/>
        <v>0</v>
      </c>
      <c r="M143" s="483">
        <f t="shared" si="9"/>
        <v>0</v>
      </c>
      <c r="N143" s="483">
        <f t="shared" si="9"/>
        <v>0</v>
      </c>
      <c r="O143" s="483">
        <f t="shared" si="9"/>
        <v>0</v>
      </c>
      <c r="P143" s="483">
        <f t="shared" si="9"/>
        <v>162</v>
      </c>
      <c r="Q143" s="483">
        <f t="shared" si="9"/>
        <v>236.15999999999997</v>
      </c>
      <c r="R143" s="483">
        <f t="shared" si="9"/>
        <v>260.39999999999998</v>
      </c>
      <c r="S143" s="485"/>
      <c r="T143" s="74"/>
      <c r="U143" s="74"/>
      <c r="V143" s="74"/>
      <c r="W143" s="74"/>
      <c r="X143" s="74"/>
      <c r="Y143" s="74"/>
      <c r="Z143" s="74"/>
      <c r="AA143" s="74"/>
      <c r="AB143" s="74"/>
    </row>
    <row r="144" spans="1:55" x14ac:dyDescent="0.3">
      <c r="A144" s="480" t="s">
        <v>515</v>
      </c>
      <c r="B144" s="481">
        <f>SUM(B134:B142)</f>
        <v>2614</v>
      </c>
      <c r="C144" s="481"/>
      <c r="D144" s="481"/>
      <c r="E144" s="483">
        <f>SUM(E134:E143)</f>
        <v>3261.2707126182731</v>
      </c>
      <c r="F144" s="484">
        <f>E144*(20-$D$145)/1000</f>
        <v>127.18955779211265</v>
      </c>
      <c r="G144" s="483">
        <f>SUM(G134:G143)</f>
        <v>42383.874485387183</v>
      </c>
      <c r="H144" s="483">
        <f t="shared" ref="H144:R144" si="10">SUM(H134:H143)</f>
        <v>35988.804974064456</v>
      </c>
      <c r="I144" s="483">
        <f t="shared" si="10"/>
        <v>31836.735212525866</v>
      </c>
      <c r="J144" s="483">
        <f t="shared" si="10"/>
        <v>11151.993137971655</v>
      </c>
      <c r="K144" s="483">
        <f t="shared" si="10"/>
        <v>0</v>
      </c>
      <c r="L144" s="483">
        <f t="shared" si="10"/>
        <v>0</v>
      </c>
      <c r="M144" s="483">
        <f t="shared" si="10"/>
        <v>0</v>
      </c>
      <c r="N144" s="483">
        <f t="shared" si="10"/>
        <v>0</v>
      </c>
      <c r="O144" s="483">
        <f t="shared" si="10"/>
        <v>0</v>
      </c>
      <c r="P144" s="483">
        <f t="shared" si="10"/>
        <v>21264.393695284936</v>
      </c>
      <c r="Q144" s="483">
        <f t="shared" si="10"/>
        <v>30998.760586904264</v>
      </c>
      <c r="R144" s="483">
        <f t="shared" si="10"/>
        <v>34180.543939828385</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-19</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191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15</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25</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3298.2</v>
      </c>
      <c r="E147" s="74"/>
      <c r="F147" s="74"/>
      <c r="G147" s="490">
        <f>'Ввод исходных данных'!$G$252</f>
        <v>672.69999999999993</v>
      </c>
      <c r="H147" s="490">
        <f>'Ввод исходных данных'!$G$253</f>
        <v>571.19999999999993</v>
      </c>
      <c r="I147" s="490">
        <f>'Ввод исходных данных'!$G$254</f>
        <v>505.3</v>
      </c>
      <c r="J147" s="490">
        <f>'Ввод исходных данных'!$G$255</f>
        <v>177</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337.5</v>
      </c>
      <c r="Q147" s="490">
        <f>'Ввод исходных данных'!$G$262</f>
        <v>491.99999999999994</v>
      </c>
      <c r="R147" s="490">
        <f>'Ввод исходных данных'!$G$263</f>
        <v>542.5</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16.131999999999998</v>
      </c>
      <c r="E148" s="74"/>
      <c r="F148" s="495">
        <f>17*D150/1000</f>
        <v>24.202900000000003</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23.1</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1423.7</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69.437049140370519</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1.05</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97.017129356172475</v>
      </c>
      <c r="E165" s="74"/>
      <c r="F165" s="74"/>
      <c r="G165" s="508">
        <f>'Расчет базового уровня'!G167</f>
        <v>97.103162873189476</v>
      </c>
      <c r="H165" s="508">
        <f>'Расчет базового уровня'!H167</f>
        <v>97.103162873189476</v>
      </c>
      <c r="I165" s="508">
        <f>'Расчет базового уровня'!I167</f>
        <v>97.103162873189476</v>
      </c>
      <c r="J165" s="508">
        <f>'Расчет базового уровня'!J167</f>
        <v>87.392846585870529</v>
      </c>
      <c r="K165" s="508">
        <f>'Расчет базового уровня'!K167</f>
        <v>87.392846585870529</v>
      </c>
      <c r="L165" s="508">
        <f>'Расчет базового уровня'!L167</f>
        <v>87.392846585870529</v>
      </c>
      <c r="M165" s="508">
        <f>'Расчет базового уровня'!M167</f>
        <v>87.392846585870529</v>
      </c>
      <c r="N165" s="508">
        <f>'Расчет базового уровня'!N167</f>
        <v>87.392846585870529</v>
      </c>
      <c r="O165" s="508">
        <f>'Расчет базового уровня'!O167</f>
        <v>87.392846585870529</v>
      </c>
      <c r="P165" s="508">
        <f>'Расчет базового уровня'!P167</f>
        <v>87.392846585870529</v>
      </c>
      <c r="Q165" s="508">
        <f>'Расчет базового уровня'!Q167</f>
        <v>97.103162873189476</v>
      </c>
      <c r="R165" s="508">
        <f>'Расчет базового уровня'!R167</f>
        <v>97.103162873189476</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355</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21</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0.4163651801535736</v>
      </c>
      <c r="E169" s="74"/>
      <c r="F169" s="74"/>
      <c r="G169" s="512">
        <f>G165*'Ввод исходных данных'!$D$22/24/1000</f>
        <v>0.41673440733077149</v>
      </c>
      <c r="H169" s="512">
        <f>H165*'Ввод исходных данных'!$D$22/24/1000</f>
        <v>0.41673440733077149</v>
      </c>
      <c r="I169" s="512">
        <f>I165*'Ввод исходных данных'!$D$22/24/1000</f>
        <v>0.41673440733077149</v>
      </c>
      <c r="J169" s="512">
        <f>J165*'Ввод исходных данных'!$D$22/24/1000</f>
        <v>0.37506096659769439</v>
      </c>
      <c r="K169" s="512">
        <f>K165*'Ввод исходных данных'!$D$22/24/1000</f>
        <v>0.37506096659769439</v>
      </c>
      <c r="L169" s="512">
        <f>L165*'Ввод исходных данных'!$D$22/24/1000</f>
        <v>0.37506096659769439</v>
      </c>
      <c r="M169" s="512">
        <f>M165*'Ввод исходных данных'!$D$22/24/1000</f>
        <v>0.37506096659769439</v>
      </c>
      <c r="N169" s="512">
        <f>N165*'Ввод исходных данных'!$D$22/24/1000</f>
        <v>0.37506096659769439</v>
      </c>
      <c r="O169" s="512">
        <f>O165*'Ввод исходных данных'!$D$22/24/1000</f>
        <v>0.37506096659769439</v>
      </c>
      <c r="P169" s="512">
        <f>P165*'Ввод исходных данных'!$D$22/24/1000</f>
        <v>0.37506096659769439</v>
      </c>
      <c r="Q169" s="512">
        <f>Q165*'Ввод исходных данных'!$D$22/24/1000</f>
        <v>0.41673440733077149</v>
      </c>
      <c r="R169" s="512">
        <f>R165*'Ввод исходных данных'!$D$22/24/1000</f>
        <v>0.41673440733077149</v>
      </c>
      <c r="S169" s="74"/>
      <c r="T169" s="74"/>
      <c r="U169" s="74"/>
      <c r="V169" s="74"/>
      <c r="W169" s="74"/>
      <c r="X169" s="74"/>
    </row>
    <row r="170" spans="1:31" ht="15.75" customHeight="1" x14ac:dyDescent="0.3">
      <c r="A170" s="506" t="s">
        <v>909</v>
      </c>
      <c r="B170" s="507" t="s">
        <v>548</v>
      </c>
      <c r="C170" s="489" t="s">
        <v>559</v>
      </c>
      <c r="D170" s="512">
        <f>D169*'Система электроснабжения'!$C$55</f>
        <v>2.1521971160152824</v>
      </c>
      <c r="E170" s="74"/>
      <c r="F170" s="74"/>
      <c r="G170" s="512">
        <f>G169*'Система электроснабжения'!$C$55</f>
        <v>2.1541056561713701</v>
      </c>
      <c r="H170" s="512">
        <f>H169*'Система электроснабжения'!$C$55</f>
        <v>2.1541056561713701</v>
      </c>
      <c r="I170" s="512">
        <f>I169*'Система электроснабжения'!$C$55</f>
        <v>2.1541056561713701</v>
      </c>
      <c r="J170" s="512">
        <f>J169*'Система электроснабжения'!$C$55</f>
        <v>1.9386950905542333</v>
      </c>
      <c r="K170" s="512">
        <f>K169*'Система электроснабжения'!$C$55</f>
        <v>1.9386950905542333</v>
      </c>
      <c r="L170" s="512">
        <f>L169*'Система электроснабжения'!$C$55</f>
        <v>1.9386950905542333</v>
      </c>
      <c r="M170" s="512">
        <f>M169*'Система электроснабжения'!$C$55</f>
        <v>1.9386950905542333</v>
      </c>
      <c r="N170" s="512">
        <f>N169*'Система электроснабжения'!$C$55</f>
        <v>1.9386950905542333</v>
      </c>
      <c r="O170" s="512">
        <f>O169*'Система электроснабжения'!$C$55</f>
        <v>1.9386950905542333</v>
      </c>
      <c r="P170" s="512">
        <f>P169*'Система электроснабжения'!$C$55</f>
        <v>1.9386950905542333</v>
      </c>
      <c r="Q170" s="512">
        <f>Q169*'Система электроснабжения'!$C$55</f>
        <v>2.1541056561713701</v>
      </c>
      <c r="R170" s="512">
        <f>R169*'Система электроснабжения'!$C$55</f>
        <v>2.1541056561713701</v>
      </c>
      <c r="S170" s="74"/>
      <c r="T170" s="74"/>
      <c r="U170" s="74"/>
      <c r="V170" s="74"/>
      <c r="W170" s="74"/>
      <c r="X170" s="74"/>
    </row>
    <row r="171" spans="1:31" ht="15.75" customHeight="1" x14ac:dyDescent="0.3">
      <c r="A171" s="506" t="s">
        <v>910</v>
      </c>
      <c r="B171" s="507" t="s">
        <v>551</v>
      </c>
      <c r="C171" s="489" t="s">
        <v>513</v>
      </c>
      <c r="D171" s="513">
        <f xml:space="preserve"> (D165*(D172-D173)*(1+D174)*1*D175)/(3.6*24*D176)</f>
        <v>14.266234125812169</v>
      </c>
      <c r="E171" s="74"/>
      <c r="F171" s="74"/>
      <c r="G171" s="513">
        <f xml:space="preserve"> (G165*($D$172-$D$173)*(1+$D$174)*1*$D$175)/(3.6*24*$D$176)</f>
        <v>14.278885234998526</v>
      </c>
      <c r="H171" s="513">
        <f t="shared" ref="H171:R171" si="11" xml:space="preserve"> (H165*($D$172-$D$173)*(1+$D$174)*1*$D$175)/(3.6*24*$D$176)</f>
        <v>14.278885234998526</v>
      </c>
      <c r="I171" s="513">
        <f t="shared" si="11"/>
        <v>14.278885234998526</v>
      </c>
      <c r="J171" s="513">
        <f t="shared" si="11"/>
        <v>12.850996711498672</v>
      </c>
      <c r="K171" s="513">
        <f t="shared" si="11"/>
        <v>12.850996711498672</v>
      </c>
      <c r="L171" s="513">
        <f t="shared" si="11"/>
        <v>12.850996711498672</v>
      </c>
      <c r="M171" s="513">
        <f t="shared" si="11"/>
        <v>12.850996711498672</v>
      </c>
      <c r="N171" s="513">
        <f t="shared" si="11"/>
        <v>12.850996711498672</v>
      </c>
      <c r="O171" s="513">
        <f t="shared" si="11"/>
        <v>12.850996711498672</v>
      </c>
      <c r="P171" s="513">
        <f t="shared" si="11"/>
        <v>12.850996711498672</v>
      </c>
      <c r="Q171" s="513">
        <f t="shared" si="11"/>
        <v>14.278885234998526</v>
      </c>
      <c r="R171" s="513">
        <f t="shared" si="11"/>
        <v>14.278885234998526</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9.6197183098591541</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0.1</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23.1</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8.0869282430054099</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10.704374615076322</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12.629467541940191</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0.12</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116.45738205703609</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73.901391190808425</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190.35877324784451</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2765.99884607685</v>
      </c>
      <c r="E188" s="74"/>
      <c r="F188" s="74"/>
      <c r="G188" s="508">
        <f>0.024*$D$185*G$147*0.28</f>
        <v>526.45071971364223</v>
      </c>
      <c r="H188" s="508">
        <f t="shared" ref="H188:R188" si="12">0.024*$D$185*H$147*0.28</f>
        <v>447.017468560179</v>
      </c>
      <c r="I188" s="508">
        <f t="shared" si="12"/>
        <v>395.44454983098473</v>
      </c>
      <c r="J188" s="508">
        <f t="shared" si="12"/>
        <v>138.51906851392104</v>
      </c>
      <c r="K188" s="508">
        <f t="shared" si="12"/>
        <v>0</v>
      </c>
      <c r="L188" s="508">
        <f t="shared" si="12"/>
        <v>0</v>
      </c>
      <c r="M188" s="508">
        <f t="shared" si="12"/>
        <v>0</v>
      </c>
      <c r="N188" s="508">
        <f t="shared" si="12"/>
        <v>0</v>
      </c>
      <c r="O188" s="508">
        <f t="shared" si="12"/>
        <v>0</v>
      </c>
      <c r="P188" s="508">
        <f t="shared" si="12"/>
        <v>264.12534250535788</v>
      </c>
      <c r="Q188" s="508">
        <f t="shared" si="12"/>
        <v>385.03605485225501</v>
      </c>
      <c r="R188" s="508">
        <f t="shared" si="12"/>
        <v>424.55703202713079</v>
      </c>
      <c r="S188" s="74"/>
      <c r="T188" s="74"/>
      <c r="U188" s="74"/>
      <c r="V188" s="74"/>
      <c r="W188" s="74"/>
      <c r="X188" s="74"/>
    </row>
    <row r="189" spans="1:26" x14ac:dyDescent="0.3">
      <c r="A189" s="510" t="s">
        <v>1565</v>
      </c>
      <c r="B189" s="515"/>
      <c r="C189" s="489" t="s">
        <v>496</v>
      </c>
      <c r="D189" s="508">
        <f>0.024*D186*'Расчет базового уровня'!$D$147*0.28</f>
        <v>1755.2443576066112</v>
      </c>
      <c r="E189" s="74"/>
      <c r="F189" s="74"/>
      <c r="G189" s="508">
        <f>0.024*$D$186*G$147*0.28</f>
        <v>334.07449053926189</v>
      </c>
      <c r="H189" s="508">
        <f t="shared" ref="H189:R189" si="13">0.024*$D$186*H$147*0.28</f>
        <v>283.66782963583529</v>
      </c>
      <c r="I189" s="508">
        <f t="shared" si="13"/>
        <v>250.94074634976818</v>
      </c>
      <c r="J189" s="508">
        <f t="shared" si="13"/>
        <v>87.901270737995176</v>
      </c>
      <c r="K189" s="508">
        <f t="shared" si="13"/>
        <v>0</v>
      </c>
      <c r="L189" s="508">
        <f t="shared" si="13"/>
        <v>0</v>
      </c>
      <c r="M189" s="508">
        <f t="shared" si="13"/>
        <v>0</v>
      </c>
      <c r="N189" s="508">
        <f t="shared" si="13"/>
        <v>0</v>
      </c>
      <c r="O189" s="508">
        <f t="shared" si="13"/>
        <v>0</v>
      </c>
      <c r="P189" s="508">
        <f t="shared" si="13"/>
        <v>167.60835522075351</v>
      </c>
      <c r="Q189" s="508">
        <f t="shared" si="13"/>
        <v>244.33573561069844</v>
      </c>
      <c r="R189" s="508">
        <f t="shared" si="13"/>
        <v>269.41491172521125</v>
      </c>
      <c r="S189" s="74"/>
      <c r="T189" s="74"/>
      <c r="U189" s="74"/>
      <c r="V189" s="74"/>
      <c r="W189" s="74"/>
      <c r="X189" s="74"/>
    </row>
    <row r="190" spans="1:26" x14ac:dyDescent="0.3">
      <c r="A190" s="510" t="s">
        <v>1564</v>
      </c>
      <c r="B190" s="515"/>
      <c r="C190" s="489" t="s">
        <v>496</v>
      </c>
      <c r="D190" s="508">
        <f>0.024*D187*'Расчет базового уровня'!$D$147*0.28</f>
        <v>4521.2432036834616</v>
      </c>
      <c r="E190" s="74"/>
      <c r="F190" s="74"/>
      <c r="G190" s="508">
        <f>0.024*$D$187*G$147*0.28</f>
        <v>860.52521025290412</v>
      </c>
      <c r="H190" s="508">
        <f t="shared" ref="H190:R190" si="14">0.024*$D$187*H$147*0.28</f>
        <v>730.68529819601429</v>
      </c>
      <c r="I190" s="508">
        <f t="shared" si="14"/>
        <v>646.3852961807529</v>
      </c>
      <c r="J190" s="508">
        <f t="shared" si="14"/>
        <v>226.42033925191623</v>
      </c>
      <c r="K190" s="508">
        <f t="shared" si="14"/>
        <v>0</v>
      </c>
      <c r="L190" s="508">
        <f t="shared" si="14"/>
        <v>0</v>
      </c>
      <c r="M190" s="508">
        <f t="shared" si="14"/>
        <v>0</v>
      </c>
      <c r="N190" s="508">
        <f t="shared" si="14"/>
        <v>0</v>
      </c>
      <c r="O190" s="508">
        <f t="shared" si="14"/>
        <v>0</v>
      </c>
      <c r="P190" s="508">
        <f t="shared" si="14"/>
        <v>431.73369772611142</v>
      </c>
      <c r="Q190" s="508">
        <f t="shared" si="14"/>
        <v>629.37179046295353</v>
      </c>
      <c r="R190" s="508">
        <f t="shared" si="14"/>
        <v>693.9719437523421</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x14ac:dyDescent="0.3">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700000</v>
      </c>
      <c r="D52" s="95">
        <f>C52*0.2+100000</f>
        <v>240000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1934325.7082832505</v>
      </c>
      <c r="D53" s="286">
        <f>C53*0.2+100000</f>
        <v>486865.14165665011</v>
      </c>
      <c r="E53" s="74"/>
      <c r="F53" s="74"/>
      <c r="G53" s="74"/>
      <c r="H53" s="74"/>
      <c r="I53" s="74"/>
      <c r="J53" s="74"/>
      <c r="K53" s="74"/>
    </row>
    <row r="54" spans="1:11" x14ac:dyDescent="0.3">
      <c r="A54" s="95" t="s">
        <v>1615</v>
      </c>
      <c r="B54" s="95" t="s">
        <v>858</v>
      </c>
      <c r="C54" s="286">
        <f>531500+285*'Расчет базового уровня'!E172</f>
        <v>574832.52790595731</v>
      </c>
      <c r="D54" s="95">
        <f>C54*0.2+100000</f>
        <v>214966.50558119145</v>
      </c>
      <c r="E54" s="74"/>
      <c r="F54" s="74"/>
      <c r="G54" s="74"/>
      <c r="H54" s="74"/>
      <c r="I54" s="74"/>
      <c r="J54" s="74"/>
      <c r="K54" s="74"/>
    </row>
    <row r="55" spans="1:11" x14ac:dyDescent="0.3">
      <c r="A55" s="95" t="s">
        <v>1619</v>
      </c>
      <c r="B55" s="95" t="s">
        <v>858</v>
      </c>
      <c r="C55" s="286">
        <f>150121*'Расчет базового уровня'!E173+23232</f>
        <v>42861.492220078559</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под биллинг</cp:lastModifiedBy>
  <cp:lastPrinted>2017-03-20T11:52:12Z</cp:lastPrinted>
  <dcterms:created xsi:type="dcterms:W3CDTF">2016-10-10T08:58:27Z</dcterms:created>
  <dcterms:modified xsi:type="dcterms:W3CDTF">2017-09-11T15:41:44Z</dcterms:modified>
  <cp:category>Приложение</cp:category>
</cp:coreProperties>
</file>