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Password="EDC7" lockStructure="1"/>
  <bookViews>
    <workbookView xWindow="0" yWindow="60" windowWidth="15345" windowHeight="3675" tabRatio="752"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5" l="1"/>
  <c r="D45" i="5"/>
  <c r="D187" i="5"/>
  <c r="D188" i="5"/>
  <c r="D189" i="5"/>
  <c r="D190" i="5"/>
  <c r="D191" i="5"/>
  <c r="D192" i="5"/>
  <c r="D193" i="5"/>
  <c r="D194" i="5"/>
  <c r="D195" i="5"/>
  <c r="D196" i="5"/>
  <c r="D197" i="5"/>
  <c r="D186" i="5"/>
  <c r="D235" i="5" l="1"/>
  <c r="E10" i="16" l="1"/>
  <c r="E140" i="5" l="1"/>
  <c r="E284" i="5"/>
  <c r="F284" i="5" s="1"/>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A50" i="15"/>
  <c r="AD50" i="15" s="1"/>
  <c r="A45" i="15"/>
  <c r="AD45" i="15" s="1"/>
  <c r="E235" i="5" l="1"/>
  <c r="E236" i="5" s="1"/>
  <c r="AA56" i="15" l="1"/>
  <c r="AA55" i="15"/>
  <c r="AA44" i="15"/>
  <c r="AA49" i="15"/>
  <c r="H35" i="15"/>
  <c r="G35" i="15" s="1"/>
  <c r="E198" i="5"/>
  <c r="F218" i="5"/>
  <c r="A49" i="15" l="1"/>
  <c r="AD49" i="15" s="1"/>
  <c r="A55" i="15"/>
  <c r="AD55" i="15" s="1"/>
  <c r="A44" i="15"/>
  <c r="AD44" i="15" s="1"/>
  <c r="A56" i="15"/>
  <c r="AD56" i="15" s="1"/>
  <c r="D13" i="5"/>
  <c r="F13" i="5" l="1"/>
  <c r="D218" i="5" l="1"/>
  <c r="F12" i="5"/>
  <c r="E218" i="5" l="1"/>
  <c r="F63" i="5"/>
  <c r="F50" i="5"/>
  <c r="D198" i="5" l="1"/>
  <c r="H56" i="15"/>
  <c r="H58" i="15"/>
  <c r="H55" i="15"/>
  <c r="H52" i="15"/>
  <c r="H50" i="15"/>
  <c r="H49" i="15"/>
  <c r="H48" i="15"/>
  <c r="H45" i="15"/>
  <c r="H44" i="15"/>
  <c r="H43" i="15"/>
  <c r="H39" i="15"/>
  <c r="H38" i="15"/>
  <c r="H34" i="15"/>
  <c r="H24" i="15"/>
  <c r="H47" i="15" l="1"/>
  <c r="H42" i="15"/>
  <c r="F240" i="5"/>
  <c r="E243" i="5" l="1"/>
  <c r="D243" i="5"/>
  <c r="AI12" i="4"/>
  <c r="AI11" i="4" s="1"/>
  <c r="AL24" i="4" l="1"/>
  <c r="E159" i="5" l="1"/>
  <c r="F60" i="5"/>
  <c r="L252" i="5" l="1"/>
  <c r="F235" i="5"/>
  <c r="F236" i="5" s="1"/>
  <c r="G235" i="5"/>
  <c r="H235" i="5"/>
  <c r="I235" i="5"/>
  <c r="J235" i="5"/>
  <c r="C103" i="5"/>
  <c r="C202" i="5"/>
  <c r="B274" i="5"/>
  <c r="B266" i="5"/>
  <c r="B239" i="5"/>
  <c r="B163" i="5"/>
  <c r="B79" i="5"/>
  <c r="B42" i="5"/>
  <c r="F66" i="5" l="1"/>
  <c r="F65" i="5"/>
  <c r="F46" i="5"/>
  <c r="F45" i="5"/>
  <c r="E153" i="5" l="1"/>
  <c r="E149" i="5"/>
  <c r="E145" i="5"/>
  <c r="D85" i="5" l="1"/>
  <c r="C86" i="5" s="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D151" i="5"/>
  <c r="E150" i="5" s="1"/>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3" i="8"/>
  <c r="C25"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l="1"/>
  <c r="AA43" i="15"/>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H32" i="15"/>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R22" i="18"/>
  <c r="R34" i="18"/>
  <c r="R46" i="18"/>
  <c r="R29" i="18"/>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B79" i="15" s="1"/>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D147" i="5"/>
  <c r="E146" i="5" s="1"/>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C138" i="6" l="1"/>
  <c r="A60" i="15"/>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2"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5" i="15" s="1"/>
  <c r="T35"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D111" i="6" s="1"/>
  <c r="C111" i="20" s="1"/>
  <c r="D112" i="20" s="1"/>
  <c r="Z235" i="5"/>
  <c r="Q17" i="6"/>
  <c r="Q11" i="6"/>
  <c r="Q7" i="6"/>
  <c r="Q14" i="6"/>
  <c r="T18" i="6"/>
  <c r="T6" i="6" s="1"/>
  <c r="T17" i="6" s="1"/>
  <c r="S6" i="6"/>
  <c r="S17" i="6" s="1"/>
  <c r="P101" i="6"/>
  <c r="R103" i="6"/>
  <c r="V18" i="6"/>
  <c r="Q18" i="20" s="1"/>
  <c r="Q100" i="20"/>
  <c r="R112" i="6"/>
  <c r="R107" i="6"/>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9"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G51" i="5" l="1"/>
  <c r="B137" i="20"/>
  <c r="C137" i="6"/>
  <c r="AM50" i="6" s="1"/>
  <c r="AM51" i="6" s="1"/>
  <c r="F23" i="5"/>
  <c r="E285" i="5" s="1"/>
  <c r="C27" i="1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T14" i="20" l="1"/>
  <c r="T37" i="20"/>
  <c r="P39" i="15"/>
  <c r="T39" i="15" s="1"/>
  <c r="U38" i="15" s="1"/>
  <c r="W38" i="15" s="1"/>
  <c r="C52" i="16" s="1"/>
  <c r="F52" i="16" s="1"/>
  <c r="U39" i="15" l="1"/>
  <c r="W39" i="15" s="1"/>
  <c r="C53" i="16" s="1"/>
  <c r="F53" i="16" s="1"/>
  <c r="V39" i="15"/>
  <c r="O7" i="15"/>
  <c r="S14" i="15"/>
  <c r="W14" i="15" s="1"/>
  <c r="C44" i="16" s="1"/>
  <c r="F44" i="16" s="1"/>
  <c r="U32" i="15" l="1"/>
  <c r="U31" i="15" s="1"/>
  <c r="R7" i="15"/>
  <c r="S7" i="15" s="1"/>
  <c r="V7" i="15"/>
  <c r="U36" i="15"/>
  <c r="U6" i="15" l="1"/>
  <c r="W7" i="15"/>
  <c r="J76" i="18" l="1"/>
  <c r="AA76" i="18" s="1"/>
  <c r="G49" i="5"/>
  <c r="E43" i="5" l="1"/>
  <c r="D179" i="20"/>
  <c r="D185" i="20" s="1"/>
  <c r="D182" i="6"/>
  <c r="D162" i="6" s="1"/>
  <c r="D41" i="15"/>
  <c r="D180" i="20"/>
  <c r="D186" i="20" s="1"/>
  <c r="E67" i="5"/>
  <c r="E278" i="5" s="1"/>
  <c r="E289" i="5" s="1"/>
  <c r="D181" i="6"/>
  <c r="D187" i="6" s="1"/>
  <c r="M161" i="6" l="1"/>
  <c r="H161" i="6"/>
  <c r="D161" i="6"/>
  <c r="P161" i="6"/>
  <c r="H161" i="20"/>
  <c r="Q161" i="20"/>
  <c r="G161" i="20"/>
  <c r="L161" i="6"/>
  <c r="I161" i="6"/>
  <c r="P161" i="20"/>
  <c r="O161" i="6"/>
  <c r="R161" i="6"/>
  <c r="J161" i="20"/>
  <c r="D161" i="20"/>
  <c r="N161" i="6"/>
  <c r="G161" i="6"/>
  <c r="J161" i="6"/>
  <c r="I161" i="20"/>
  <c r="O161" i="20"/>
  <c r="M161" i="20"/>
  <c r="R161" i="20"/>
  <c r="Q161" i="6"/>
  <c r="E161" i="20"/>
  <c r="K161" i="20"/>
  <c r="N161" i="20"/>
  <c r="K161" i="6"/>
  <c r="E161" i="6"/>
  <c r="L161" i="20"/>
  <c r="D188" i="6"/>
  <c r="I191" i="6" s="1"/>
  <c r="D162" i="20"/>
  <c r="M189" i="20"/>
  <c r="Q189" i="20"/>
  <c r="I189" i="20"/>
  <c r="R189" i="20"/>
  <c r="N189" i="20"/>
  <c r="L189" i="20"/>
  <c r="P189" i="20"/>
  <c r="G189" i="20"/>
  <c r="K189" i="20"/>
  <c r="H189" i="20"/>
  <c r="D189" i="20"/>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F278" i="5"/>
  <c r="G188" i="20"/>
  <c r="M188" i="20"/>
  <c r="L188" i="20"/>
  <c r="O188" i="20"/>
  <c r="K188" i="20"/>
  <c r="Q188" i="20"/>
  <c r="D188" i="20"/>
  <c r="P188" i="20"/>
  <c r="I188" i="20"/>
  <c r="H188" i="20"/>
  <c r="R188" i="20"/>
  <c r="N188" i="20"/>
  <c r="J188" i="20"/>
  <c r="D187" i="20"/>
  <c r="F151" i="20" l="1"/>
  <c r="D34" i="10" s="1"/>
  <c r="D35" i="10" s="1"/>
  <c r="M191" i="6"/>
  <c r="G191" i="6"/>
  <c r="R191" i="6"/>
  <c r="L191" i="6"/>
  <c r="K191" i="6"/>
  <c r="Q191" i="6"/>
  <c r="D189" i="6"/>
  <c r="R192" i="6" s="1"/>
  <c r="AP62" i="6" s="1"/>
  <c r="N191" i="6"/>
  <c r="P191" i="6"/>
  <c r="J191" i="6"/>
  <c r="O191" i="6"/>
  <c r="H191" i="6"/>
  <c r="D191" i="6"/>
  <c r="Q192" i="6"/>
  <c r="AM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C52" i="17" l="1"/>
  <c r="D52" i="17" s="1"/>
  <c r="C53" i="17"/>
  <c r="D53" i="17" s="1"/>
  <c r="G192" i="6"/>
  <c r="I62" i="6" s="1"/>
  <c r="I65" i="6" s="1"/>
  <c r="P192" i="6"/>
  <c r="AJ62" i="6" s="1"/>
  <c r="AJ63" i="6" s="1"/>
  <c r="F151" i="6"/>
  <c r="C34" i="10" s="1"/>
  <c r="G33" i="10" s="1"/>
  <c r="J192" i="6"/>
  <c r="R62" i="6" s="1"/>
  <c r="R65" i="6" s="1"/>
  <c r="R35" i="6" s="1"/>
  <c r="M192" i="6"/>
  <c r="AA62" i="6" s="1"/>
  <c r="AA65" i="6" s="1"/>
  <c r="AA35" i="6" s="1"/>
  <c r="AC62" i="6" s="1"/>
  <c r="AC63" i="6" s="1"/>
  <c r="I192" i="6"/>
  <c r="O62" i="6" s="1"/>
  <c r="O65" i="6" s="1"/>
  <c r="K192" i="6"/>
  <c r="U62" i="6" s="1"/>
  <c r="U63" i="6" s="1"/>
  <c r="H192" i="6"/>
  <c r="L62" i="6" s="1"/>
  <c r="L63" i="6" s="1"/>
  <c r="N192" i="6"/>
  <c r="AD62" i="6" s="1"/>
  <c r="AD63" i="6" s="1"/>
  <c r="D192" i="6"/>
  <c r="C62" i="6" s="1"/>
  <c r="C65" i="6" s="1"/>
  <c r="L192" i="6"/>
  <c r="X62" i="6" s="1"/>
  <c r="X65" i="6" s="1"/>
  <c r="X35" i="6" s="1"/>
  <c r="Y62" i="6" s="1"/>
  <c r="O192" i="6"/>
  <c r="AG62" i="6" s="1"/>
  <c r="AG65" i="6" s="1"/>
  <c r="AG35" i="6" s="1"/>
  <c r="AI62" i="6" s="1"/>
  <c r="AI63" i="6" s="1"/>
  <c r="D93" i="20"/>
  <c r="D15" i="20"/>
  <c r="D86" i="20"/>
  <c r="F50" i="10"/>
  <c r="L49" i="10"/>
  <c r="C50" i="10"/>
  <c r="N49" i="10"/>
  <c r="O49" i="10"/>
  <c r="G49" i="10"/>
  <c r="K49" i="10"/>
  <c r="I49" i="10"/>
  <c r="D36" i="10"/>
  <c r="E50" i="10"/>
  <c r="P49" i="10"/>
  <c r="M49" i="10"/>
  <c r="H49" i="10"/>
  <c r="J49" i="10"/>
  <c r="O63" i="6"/>
  <c r="AP63" i="6"/>
  <c r="AP65" i="6"/>
  <c r="AP35" i="6" s="1"/>
  <c r="AM63" i="6"/>
  <c r="AM65" i="6"/>
  <c r="C51" i="4"/>
  <c r="C53" i="4"/>
  <c r="L65" i="6" l="1"/>
  <c r="L35" i="6" s="1"/>
  <c r="M62" i="6" s="1"/>
  <c r="M63" i="6" s="1"/>
  <c r="R63" i="6"/>
  <c r="I63" i="6"/>
  <c r="AJ65" i="6"/>
  <c r="AJ35" i="6" s="1"/>
  <c r="AK68" i="6" s="1"/>
  <c r="C63" i="6"/>
  <c r="U65" i="6"/>
  <c r="U35" i="6" s="1"/>
  <c r="V38" i="6" s="1"/>
  <c r="C35" i="10"/>
  <c r="L48" i="10" s="1"/>
  <c r="AD65" i="6"/>
  <c r="AD35" i="6" s="1"/>
  <c r="AD12" i="6" s="1"/>
  <c r="AA63" i="6"/>
  <c r="B80" i="6"/>
  <c r="AG63" i="6"/>
  <c r="X63" i="6"/>
  <c r="D94" i="20"/>
  <c r="D87" i="20"/>
  <c r="D22" i="16"/>
  <c r="E22" i="16"/>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S62" i="20"/>
  <c r="T62" i="20" s="1"/>
  <c r="Y63" i="6"/>
  <c r="B81" i="15"/>
  <c r="AM66" i="6"/>
  <c r="AH62" i="6"/>
  <c r="C80" i="6"/>
  <c r="C66" i="6"/>
  <c r="I66" i="6"/>
  <c r="O66" i="6"/>
  <c r="B80" i="15"/>
  <c r="F86" i="15"/>
  <c r="F87" i="15" s="1"/>
  <c r="AA66" i="6"/>
  <c r="AB65" i="6"/>
  <c r="AC65" i="6"/>
  <c r="AC66" i="6" s="1"/>
  <c r="X66" i="6"/>
  <c r="Y65" i="6"/>
  <c r="Z65" i="6"/>
  <c r="Z66" i="6" s="1"/>
  <c r="I35" i="6"/>
  <c r="J65" i="6" s="1"/>
  <c r="AB68" i="6"/>
  <c r="AB73" i="6"/>
  <c r="AB75" i="6" s="1"/>
  <c r="AB38" i="6"/>
  <c r="AC68" i="6"/>
  <c r="AC69" i="6" s="1"/>
  <c r="AA12" i="6"/>
  <c r="AC38" i="6"/>
  <c r="K40" i="10"/>
  <c r="K46" i="10" s="1"/>
  <c r="AC73" i="6"/>
  <c r="AC75" i="6"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AM35" i="6"/>
  <c r="AO65" i="6" s="1"/>
  <c r="AO66" i="6" s="1"/>
  <c r="AB62" i="6"/>
  <c r="AG66" i="6"/>
  <c r="AH65" i="6"/>
  <c r="AI65" i="6"/>
  <c r="AI66" i="6" s="1"/>
  <c r="Z62" i="6"/>
  <c r="Z63" i="6" s="1"/>
  <c r="C35" i="6"/>
  <c r="M38" i="6" l="1"/>
  <c r="M41" i="6" s="1"/>
  <c r="L70" i="6"/>
  <c r="F88" i="15"/>
  <c r="F41" i="10"/>
  <c r="F47" i="10" s="1"/>
  <c r="L12" i="6"/>
  <c r="L13" i="6" s="1"/>
  <c r="L66" i="6"/>
  <c r="L36" i="6"/>
  <c r="M65" i="6"/>
  <c r="M66" i="6" s="1"/>
  <c r="N59" i="6"/>
  <c r="N60" i="6" s="1"/>
  <c r="N62" i="6"/>
  <c r="N63" i="6" s="1"/>
  <c r="N65" i="6"/>
  <c r="N66" i="6" s="1"/>
  <c r="N38" i="6"/>
  <c r="N39" i="6" s="1"/>
  <c r="M73" i="6"/>
  <c r="M75" i="6" s="1"/>
  <c r="M68" i="6"/>
  <c r="K68" i="20" s="1"/>
  <c r="N73" i="6"/>
  <c r="N75" i="6" s="1"/>
  <c r="N68" i="6"/>
  <c r="N70" i="6" s="1"/>
  <c r="K62" i="20"/>
  <c r="L62" i="20" s="1"/>
  <c r="AL73" i="6"/>
  <c r="AL75" i="6" s="1"/>
  <c r="AL65" i="6"/>
  <c r="AL66" i="6" s="1"/>
  <c r="AF56" i="6"/>
  <c r="AF57" i="6" s="1"/>
  <c r="C49" i="10"/>
  <c r="AL62" i="6"/>
  <c r="AL63" i="6" s="1"/>
  <c r="AF73" i="6"/>
  <c r="AF75" i="6" s="1"/>
  <c r="I48" i="10"/>
  <c r="A35" i="10"/>
  <c r="P48" i="10"/>
  <c r="AF68" i="6"/>
  <c r="AF69" i="6" s="1"/>
  <c r="K48" i="10"/>
  <c r="AE65" i="6"/>
  <c r="AE66" i="6" s="1"/>
  <c r="AJ12" i="6"/>
  <c r="AJ9" i="6" s="1"/>
  <c r="AF41" i="6"/>
  <c r="AF42" i="6" s="1"/>
  <c r="AF65" i="6"/>
  <c r="AF66" i="6" s="1"/>
  <c r="AK62" i="6"/>
  <c r="AA62" i="20" s="1"/>
  <c r="AB62" i="20" s="1"/>
  <c r="N40" i="10"/>
  <c r="N46" i="10" s="1"/>
  <c r="AK38" i="6"/>
  <c r="AK56" i="6" s="1"/>
  <c r="AF62" i="6"/>
  <c r="AF63" i="6" s="1"/>
  <c r="AE38" i="6"/>
  <c r="AE50" i="6" s="1"/>
  <c r="AF38" i="6"/>
  <c r="AF39" i="6" s="1"/>
  <c r="L40" i="10"/>
  <c r="L46" i="10" s="1"/>
  <c r="AJ66" i="6"/>
  <c r="AK73" i="6"/>
  <c r="AK75" i="6" s="1"/>
  <c r="AL38" i="6"/>
  <c r="AL39" i="6" s="1"/>
  <c r="AE62" i="6"/>
  <c r="AE63" i="6" s="1"/>
  <c r="AF53" i="6"/>
  <c r="AF54" i="6" s="1"/>
  <c r="AE73" i="6"/>
  <c r="AE75" i="6" s="1"/>
  <c r="AF47" i="6"/>
  <c r="AF48" i="6" s="1"/>
  <c r="AE68" i="6"/>
  <c r="AE69" i="6" s="1"/>
  <c r="AK65" i="6"/>
  <c r="AA65" i="20" s="1"/>
  <c r="AD66" i="6"/>
  <c r="AL68" i="6"/>
  <c r="AL69" i="6" s="1"/>
  <c r="AJ36" i="6"/>
  <c r="AL74" i="6" s="1"/>
  <c r="AF50" i="6"/>
  <c r="AF51" i="6" s="1"/>
  <c r="AF59" i="6"/>
  <c r="AF60" i="6" s="1"/>
  <c r="AF44" i="6"/>
  <c r="AF45" i="6" s="1"/>
  <c r="W38" i="6"/>
  <c r="W44" i="6" s="1"/>
  <c r="W45" i="6" s="1"/>
  <c r="W68" i="6"/>
  <c r="W69" i="6" s="1"/>
  <c r="W73" i="6"/>
  <c r="W75" i="6" s="1"/>
  <c r="N48" i="10"/>
  <c r="M48" i="10"/>
  <c r="C36" i="10"/>
  <c r="J48" i="10"/>
  <c r="H48" i="10"/>
  <c r="W65" i="6"/>
  <c r="W66" i="6" s="1"/>
  <c r="V73" i="6"/>
  <c r="V75" i="6" s="1"/>
  <c r="U12" i="6"/>
  <c r="U13" i="6" s="1"/>
  <c r="V65" i="6"/>
  <c r="Q65" i="20" s="1"/>
  <c r="V62" i="6"/>
  <c r="V63" i="6" s="1"/>
  <c r="V68" i="6"/>
  <c r="Q68" i="20" s="1"/>
  <c r="O48" i="10"/>
  <c r="U66" i="6"/>
  <c r="W62" i="6"/>
  <c r="W63" i="6" s="1"/>
  <c r="I40" i="10"/>
  <c r="I46" i="10" s="1"/>
  <c r="G48" i="10"/>
  <c r="F49" i="10"/>
  <c r="E49" i="10"/>
  <c r="Q63" i="6"/>
  <c r="AH51" i="6"/>
  <c r="Y50" i="20"/>
  <c r="AH66" i="6"/>
  <c r="Y65" i="20"/>
  <c r="AH69" i="6"/>
  <c r="Y68" i="20"/>
  <c r="AK66" i="6"/>
  <c r="AC47" i="6"/>
  <c r="AC48" i="6" s="1"/>
  <c r="AC39" i="6"/>
  <c r="AC59" i="6"/>
  <c r="AC60" i="6" s="1"/>
  <c r="AC53" i="6"/>
  <c r="AC54" i="6" s="1"/>
  <c r="AC44" i="6"/>
  <c r="AC45" i="6" s="1"/>
  <c r="AC56" i="6"/>
  <c r="AC57" i="6" s="1"/>
  <c r="AC50" i="6"/>
  <c r="AC51" i="6" s="1"/>
  <c r="AC41" i="6"/>
  <c r="AC42" i="6" s="1"/>
  <c r="U65" i="20"/>
  <c r="AB66" i="6"/>
  <c r="P65" i="6"/>
  <c r="M65" i="20" s="1"/>
  <c r="J66" i="6"/>
  <c r="I65" i="20"/>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AA13" i="6"/>
  <c r="AA9" i="6"/>
  <c r="AA6" i="6"/>
  <c r="AA14" i="6" s="1"/>
  <c r="U68" i="20"/>
  <c r="AB69" i="6"/>
  <c r="P63" i="6"/>
  <c r="Y66" i="6"/>
  <c r="S65" i="20"/>
  <c r="Q66" i="6"/>
  <c r="P66" i="6"/>
  <c r="AN65" i="6"/>
  <c r="AA68" i="20"/>
  <c r="AK69" i="6"/>
  <c r="AD13" i="6"/>
  <c r="AD9" i="6"/>
  <c r="AD6" i="6"/>
  <c r="AD14" i="6"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E65" i="6"/>
  <c r="Y62" i="20"/>
  <c r="Z62" i="20" s="1"/>
  <c r="AH63" i="6"/>
  <c r="S63" i="6"/>
  <c r="O62" i="20"/>
  <c r="P62" i="20" s="1"/>
  <c r="T74" i="6"/>
  <c r="S74" i="6"/>
  <c r="V56" i="6"/>
  <c r="V39" i="6"/>
  <c r="V59" i="6"/>
  <c r="V41" i="6"/>
  <c r="Q38" i="20"/>
  <c r="V50" i="6"/>
  <c r="V47" i="6"/>
  <c r="V44" i="6"/>
  <c r="V53"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AB39" i="6"/>
  <c r="AB56" i="6"/>
  <c r="AB50" i="6"/>
  <c r="AB47" i="6"/>
  <c r="AB59" i="6"/>
  <c r="AB44" i="6"/>
  <c r="AB41" i="6"/>
  <c r="U38" i="20"/>
  <c r="AB53" i="6"/>
  <c r="I70" i="6"/>
  <c r="J68" i="6"/>
  <c r="I12" i="6"/>
  <c r="K56" i="6"/>
  <c r="K57" i="6" s="1"/>
  <c r="I36" i="6"/>
  <c r="J73" i="6"/>
  <c r="J75" i="6" s="1"/>
  <c r="K68" i="6"/>
  <c r="J38" i="6"/>
  <c r="E41" i="10"/>
  <c r="E47" i="10" s="1"/>
  <c r="K38" i="6"/>
  <c r="K73" i="6"/>
  <c r="K75" i="6" s="1"/>
  <c r="J62" i="6"/>
  <c r="K62" i="6"/>
  <c r="K63" i="6" s="1"/>
  <c r="D5" i="16"/>
  <c r="D6" i="16" s="1"/>
  <c r="C29" i="16"/>
  <c r="K65" i="6"/>
  <c r="K66" i="6" s="1"/>
  <c r="D65" i="6"/>
  <c r="AQ74" i="6"/>
  <c r="AR74" i="6"/>
  <c r="T70" i="6"/>
  <c r="T69" i="6"/>
  <c r="M59" i="6" l="1"/>
  <c r="M60" i="6" s="1"/>
  <c r="M53" i="6"/>
  <c r="M54" i="6" s="1"/>
  <c r="M39" i="6"/>
  <c r="W39" i="6"/>
  <c r="M56" i="6"/>
  <c r="K56" i="20" s="1"/>
  <c r="K38" i="20"/>
  <c r="M50" i="6"/>
  <c r="K50" i="20" s="1"/>
  <c r="M44" i="6"/>
  <c r="M47" i="6"/>
  <c r="K47" i="20" s="1"/>
  <c r="L47" i="20" s="1"/>
  <c r="E6" i="16"/>
  <c r="D33" i="16" s="1"/>
  <c r="N53" i="6"/>
  <c r="N54" i="6" s="1"/>
  <c r="N47" i="6"/>
  <c r="N48" i="6" s="1"/>
  <c r="N56" i="6"/>
  <c r="N57" i="6" s="1"/>
  <c r="N50" i="6"/>
  <c r="N51" i="6" s="1"/>
  <c r="M70" i="6"/>
  <c r="AJ13" i="6"/>
  <c r="M69" i="6"/>
  <c r="L9" i="6"/>
  <c r="L10" i="6" s="1"/>
  <c r="L6" i="6"/>
  <c r="L14" i="6" s="1"/>
  <c r="N69" i="6"/>
  <c r="N41" i="6"/>
  <c r="N42" i="6" s="1"/>
  <c r="N44" i="6"/>
  <c r="N45" i="6" s="1"/>
  <c r="W65" i="20"/>
  <c r="X67" i="20" s="1"/>
  <c r="AE39" i="6"/>
  <c r="L63" i="20"/>
  <c r="L64" i="20" s="1"/>
  <c r="Q62" i="20"/>
  <c r="R62" i="20" s="1"/>
  <c r="AL41" i="6"/>
  <c r="AL42" i="6" s="1"/>
  <c r="AK59" i="6"/>
  <c r="AA59" i="20" s="1"/>
  <c r="W62" i="20"/>
  <c r="X62" i="20" s="1"/>
  <c r="AA38" i="20"/>
  <c r="V66" i="6"/>
  <c r="AL56" i="6"/>
  <c r="AL57" i="6" s="1"/>
  <c r="AK74" i="6"/>
  <c r="W50" i="6"/>
  <c r="W51" i="6" s="1"/>
  <c r="AL44" i="6"/>
  <c r="AL45" i="6" s="1"/>
  <c r="AL50" i="6"/>
  <c r="AL51" i="6" s="1"/>
  <c r="W68" i="20"/>
  <c r="X68" i="20" s="1"/>
  <c r="X69" i="20" s="1"/>
  <c r="W56" i="6"/>
  <c r="W57" i="6" s="1"/>
  <c r="AK53" i="6"/>
  <c r="AA53" i="20" s="1"/>
  <c r="AK44" i="6"/>
  <c r="AK45" i="6" s="1"/>
  <c r="AK39" i="6"/>
  <c r="W47" i="6"/>
  <c r="W48" i="6" s="1"/>
  <c r="W41" i="6"/>
  <c r="W42" i="6" s="1"/>
  <c r="AK47" i="6"/>
  <c r="AK48" i="6" s="1"/>
  <c r="AK41" i="6"/>
  <c r="AA41" i="20" s="1"/>
  <c r="AB41" i="20" s="1"/>
  <c r="W59" i="6"/>
  <c r="W60" i="6" s="1"/>
  <c r="AK50" i="6"/>
  <c r="AK51" i="6" s="1"/>
  <c r="W53" i="6"/>
  <c r="W54" i="6" s="1"/>
  <c r="W38" i="20"/>
  <c r="X40" i="20" s="1"/>
  <c r="AE53" i="6"/>
  <c r="AE54" i="6" s="1"/>
  <c r="AL53" i="6"/>
  <c r="AL54" i="6" s="1"/>
  <c r="AL59" i="6"/>
  <c r="AL60" i="6" s="1"/>
  <c r="AJ6" i="6"/>
  <c r="AJ14" i="6" s="1"/>
  <c r="AL47" i="6"/>
  <c r="AL48" i="6" s="1"/>
  <c r="AE56" i="6"/>
  <c r="AE57" i="6" s="1"/>
  <c r="AE44" i="6"/>
  <c r="AE45" i="6" s="1"/>
  <c r="AE47" i="6"/>
  <c r="AE48" i="6" s="1"/>
  <c r="AE59" i="6"/>
  <c r="AE60" i="6" s="1"/>
  <c r="AK63" i="6"/>
  <c r="U6" i="6"/>
  <c r="U14" i="6" s="1"/>
  <c r="AE41" i="6"/>
  <c r="AE42" i="6" s="1"/>
  <c r="V69" i="6"/>
  <c r="U9" i="6"/>
  <c r="U10" i="6" s="1"/>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V48" i="6"/>
  <c r="Q47" i="20"/>
  <c r="R47" i="20" s="1"/>
  <c r="V60" i="6"/>
  <c r="Q59"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68" i="20"/>
  <c r="R69" i="20" s="1"/>
  <c r="R70"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V51" i="6"/>
  <c r="Q50" i="20"/>
  <c r="P63" i="20"/>
  <c r="P64" i="20" s="1"/>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K57" i="6"/>
  <c r="AA56" i="20"/>
  <c r="AE51" i="6"/>
  <c r="W50" i="20"/>
  <c r="AB63" i="20"/>
  <c r="AB64" i="20" s="1"/>
  <c r="K74" i="6"/>
  <c r="J74" i="6"/>
  <c r="V40" i="20"/>
  <c r="AB48" i="6"/>
  <c r="U47" i="20"/>
  <c r="V47" i="20" s="1"/>
  <c r="AG11" i="6"/>
  <c r="AG10" i="6"/>
  <c r="AH54" i="6"/>
  <c r="Y53" i="20"/>
  <c r="AH45" i="6"/>
  <c r="Y44" i="20"/>
  <c r="Z44" i="20" s="1"/>
  <c r="P74" i="6"/>
  <c r="Q74" i="6"/>
  <c r="K41" i="20"/>
  <c r="L41" i="20" s="1"/>
  <c r="M42" i="6"/>
  <c r="V54" i="6"/>
  <c r="Q53" i="20"/>
  <c r="V57" i="6"/>
  <c r="Q56" i="20"/>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L8" i="6"/>
  <c r="Z68" i="20"/>
  <c r="Z69" i="20" s="1"/>
  <c r="Z70" i="20" s="1"/>
  <c r="Z50" i="20"/>
  <c r="Z51" i="20" s="1"/>
  <c r="Z52" i="20"/>
  <c r="J63" i="6"/>
  <c r="I62" i="20"/>
  <c r="J62" i="20" s="1"/>
  <c r="J56" i="6"/>
  <c r="J39" i="6"/>
  <c r="J59" i="6"/>
  <c r="I38" i="20"/>
  <c r="J41" i="6"/>
  <c r="J47" i="6"/>
  <c r="J44" i="6"/>
  <c r="J50" i="6"/>
  <c r="J53" i="6"/>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Q44" i="20"/>
  <c r="R44" i="20" s="1"/>
  <c r="V45" i="6"/>
  <c r="Q41" i="20"/>
  <c r="R41" i="20" s="1"/>
  <c r="V42"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V67" i="20"/>
  <c r="K53" i="20" l="1"/>
  <c r="L53" i="20" s="1"/>
  <c r="L54" i="20" s="1"/>
  <c r="L55" i="20" s="1"/>
  <c r="M51" i="6"/>
  <c r="K59" i="20"/>
  <c r="L59" i="20" s="1"/>
  <c r="L60" i="20" s="1"/>
  <c r="L61" i="20" s="1"/>
  <c r="M48" i="6"/>
  <c r="M57" i="6"/>
  <c r="L11" i="6"/>
  <c r="X70" i="20"/>
  <c r="M20" i="6"/>
  <c r="M22" i="6" s="1"/>
  <c r="N20" i="6"/>
  <c r="N21" i="6" s="1"/>
  <c r="L7" i="6"/>
  <c r="L17" i="6"/>
  <c r="AL20" i="6"/>
  <c r="AL22" i="6" s="1"/>
  <c r="AK42" i="6"/>
  <c r="AK54" i="6"/>
  <c r="X63" i="20"/>
  <c r="X64" i="20"/>
  <c r="AA47" i="20"/>
  <c r="AB47" i="20" s="1"/>
  <c r="R63" i="20"/>
  <c r="R64" i="20" s="1"/>
  <c r="AK60" i="6"/>
  <c r="W20" i="6"/>
  <c r="W21" i="6" s="1"/>
  <c r="AA44" i="20"/>
  <c r="AB44" i="20" s="1"/>
  <c r="U17" i="6"/>
  <c r="W44" i="20"/>
  <c r="X44" i="20" s="1"/>
  <c r="AA50" i="20"/>
  <c r="AB50" i="20" s="1"/>
  <c r="U11" i="6"/>
  <c r="W53" i="20"/>
  <c r="X55" i="20" s="1"/>
  <c r="AK20" i="6"/>
  <c r="AK22" i="6" s="1"/>
  <c r="W47" i="20"/>
  <c r="X47" i="20" s="1"/>
  <c r="AJ8" i="6"/>
  <c r="AJ11" i="6"/>
  <c r="AJ17" i="6"/>
  <c r="W59" i="20"/>
  <c r="X61" i="20" s="1"/>
  <c r="W41" i="20"/>
  <c r="X41" i="20" s="1"/>
  <c r="AJ7" i="6"/>
  <c r="U8" i="6"/>
  <c r="W56" i="20"/>
  <c r="X56" i="20" s="1"/>
  <c r="X57" i="20" s="1"/>
  <c r="V20" i="6"/>
  <c r="V21" i="6" s="1"/>
  <c r="U7" i="6"/>
  <c r="O32" i="15"/>
  <c r="V32" i="15" s="1"/>
  <c r="F13" i="6"/>
  <c r="E37" i="6"/>
  <c r="P42" i="20"/>
  <c r="P43" i="20" s="1"/>
  <c r="P59" i="20"/>
  <c r="P60" i="20" s="1"/>
  <c r="P61" i="20" s="1"/>
  <c r="T59" i="20"/>
  <c r="T60" i="20" s="1"/>
  <c r="T61" i="20"/>
  <c r="R42" i="20"/>
  <c r="R43" i="20" s="1"/>
  <c r="Z59" i="20"/>
  <c r="Z60" i="20" s="1"/>
  <c r="Z61" i="20" s="1"/>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3" i="20"/>
  <c r="Z54" i="20" s="1"/>
  <c r="Z55" i="20" s="1"/>
  <c r="V48" i="20"/>
  <c r="V49" i="20"/>
  <c r="AB42" i="20"/>
  <c r="AB43" i="20" s="1"/>
  <c r="X50" i="20"/>
  <c r="X52" i="20"/>
  <c r="D47" i="20"/>
  <c r="D48" i="20" s="1"/>
  <c r="D49" i="20" s="1"/>
  <c r="D57" i="6"/>
  <c r="C56" i="20"/>
  <c r="F15" i="6"/>
  <c r="C291" i="5" s="1"/>
  <c r="C292" i="5" s="1"/>
  <c r="AF42" i="20"/>
  <c r="AF43" i="20" s="1"/>
  <c r="T21" i="6"/>
  <c r="T22" i="6"/>
  <c r="N68" i="20"/>
  <c r="N69" i="20" s="1"/>
  <c r="N70" i="20" s="1"/>
  <c r="N48" i="20"/>
  <c r="N49" i="20" s="1"/>
  <c r="R59" i="20"/>
  <c r="R60" i="20" s="1"/>
  <c r="R61" i="20" s="1"/>
  <c r="T48" i="20"/>
  <c r="T49" i="20"/>
  <c r="AF50" i="20"/>
  <c r="AF51" i="20" s="1"/>
  <c r="AF52" i="20" s="1"/>
  <c r="P20" i="6"/>
  <c r="O7" i="6"/>
  <c r="O17" i="6"/>
  <c r="O8" i="6"/>
  <c r="Q20" i="6"/>
  <c r="Z21" i="6"/>
  <c r="Z22" i="6"/>
  <c r="V42" i="20"/>
  <c r="V43" i="20"/>
  <c r="J54" i="6"/>
  <c r="I53" i="20"/>
  <c r="J42" i="6"/>
  <c r="I41" i="20"/>
  <c r="J41" i="20" s="1"/>
  <c r="J57" i="6"/>
  <c r="I56" i="20"/>
  <c r="AN51" i="6"/>
  <c r="AC50" i="20"/>
  <c r="D68" i="20"/>
  <c r="D80" i="20" s="1"/>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s="1"/>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P50" i="20"/>
  <c r="AN54" i="6"/>
  <c r="AC53" i="20"/>
  <c r="AC56" i="20"/>
  <c r="AN57" i="6"/>
  <c r="T55" i="20"/>
  <c r="T53" i="20"/>
  <c r="T54" i="20" s="1"/>
  <c r="AB22" i="6"/>
  <c r="AB21" i="6"/>
  <c r="AF22" i="6"/>
  <c r="AF21" i="6"/>
  <c r="R56" i="20"/>
  <c r="R57" i="20" s="1"/>
  <c r="R58" i="20" s="1"/>
  <c r="R53" i="20"/>
  <c r="R54" i="20" s="1"/>
  <c r="R55" i="20" s="1"/>
  <c r="L48" i="20"/>
  <c r="L49" i="20" s="1"/>
  <c r="Z45" i="20"/>
  <c r="Z46" i="20" s="1"/>
  <c r="AB56" i="20"/>
  <c r="AB57" i="20" s="1"/>
  <c r="AB58" i="20" s="1"/>
  <c r="D60" i="6"/>
  <c r="C59" i="20"/>
  <c r="AP19" i="6"/>
  <c r="L19" i="6"/>
  <c r="X19" i="6"/>
  <c r="C19" i="6"/>
  <c r="AG19" i="6"/>
  <c r="AJ19" i="6"/>
  <c r="AD19" i="6"/>
  <c r="AA19" i="6"/>
  <c r="O19" i="6"/>
  <c r="AM19" i="6"/>
  <c r="C17" i="6"/>
  <c r="I19" i="6"/>
  <c r="R19" i="6"/>
  <c r="U19" i="6"/>
  <c r="C23" i="6"/>
  <c r="E20" i="6"/>
  <c r="C7" i="6"/>
  <c r="C24" i="6" s="1"/>
  <c r="D20" i="6"/>
  <c r="AF53" i="20"/>
  <c r="AF54" i="20" s="1"/>
  <c r="AF55" i="20" s="1"/>
  <c r="R50" i="20"/>
  <c r="N45" i="20"/>
  <c r="N46" i="20" s="1"/>
  <c r="P60" i="6"/>
  <c r="M59" i="20"/>
  <c r="AQ21" i="6"/>
  <c r="AQ22" i="6"/>
  <c r="AM11" i="6"/>
  <c r="AM10" i="6"/>
  <c r="R48" i="20"/>
  <c r="R49" i="20" s="1"/>
  <c r="L45" i="20"/>
  <c r="L46" i="20" s="1"/>
  <c r="Z42" i="20"/>
  <c r="Z43" i="20" s="1"/>
  <c r="J20" i="6"/>
  <c r="I17" i="6"/>
  <c r="I8" i="6"/>
  <c r="I7" i="6"/>
  <c r="K20" i="6"/>
  <c r="AD63" i="20"/>
  <c r="AD64" i="20" s="1"/>
  <c r="L50" i="20"/>
  <c r="Z56" i="20"/>
  <c r="AI21" i="6"/>
  <c r="AI22" i="6"/>
  <c r="I44" i="20"/>
  <c r="J44" i="20" s="1"/>
  <c r="J45" i="6"/>
  <c r="J60" i="6"/>
  <c r="I59" i="20"/>
  <c r="AN42" i="6"/>
  <c r="AC41" i="20"/>
  <c r="AD41" i="20" s="1"/>
  <c r="AN60" i="6"/>
  <c r="AC59" i="20"/>
  <c r="AC21" i="6"/>
  <c r="AC22" i="6"/>
  <c r="AD68" i="20"/>
  <c r="AD69" i="20" s="1"/>
  <c r="AD70" i="20" s="1"/>
  <c r="D37" i="6"/>
  <c r="D45" i="6"/>
  <c r="C44" i="20"/>
  <c r="C14" i="6"/>
  <c r="D62" i="20"/>
  <c r="D63" i="20" s="1"/>
  <c r="D64" i="20" s="1"/>
  <c r="S22" i="6"/>
  <c r="S21" i="6"/>
  <c r="N50" i="20"/>
  <c r="N51" i="20" s="1"/>
  <c r="N52" i="20" s="1"/>
  <c r="P42" i="6"/>
  <c r="M41" i="20"/>
  <c r="N41" i="20" s="1"/>
  <c r="V55" i="20"/>
  <c r="V53" i="20"/>
  <c r="V54" i="20" s="1"/>
  <c r="AR21" i="6"/>
  <c r="AR22" i="6"/>
  <c r="P45" i="20"/>
  <c r="P46" i="20" s="1"/>
  <c r="T42" i="20"/>
  <c r="T43" i="20"/>
  <c r="AF59" i="20"/>
  <c r="AF60" i="20" s="1"/>
  <c r="AF61" i="20" s="1"/>
  <c r="V45" i="20"/>
  <c r="V46" i="20"/>
  <c r="I14" i="6"/>
  <c r="N22" i="6" l="1"/>
  <c r="AL21" i="6"/>
  <c r="M21" i="6"/>
  <c r="X58" i="20"/>
  <c r="X48" i="20"/>
  <c r="X45" i="20"/>
  <c r="X49" i="20"/>
  <c r="AB48" i="20"/>
  <c r="AB49" i="20" s="1"/>
  <c r="X53" i="20"/>
  <c r="X54" i="20" s="1"/>
  <c r="X46" i="20"/>
  <c r="W22" i="6"/>
  <c r="X59" i="20"/>
  <c r="X60" i="20" s="1"/>
  <c r="AK21" i="6"/>
  <c r="AB45" i="20"/>
  <c r="AB46" i="20" s="1"/>
  <c r="X42" i="20"/>
  <c r="V22" i="6"/>
  <c r="X43" i="20"/>
  <c r="R32" i="15"/>
  <c r="L38" i="20"/>
  <c r="L65" i="20" s="1"/>
  <c r="L66" i="20" s="1"/>
  <c r="L67" i="20" s="1"/>
  <c r="AB38" i="20"/>
  <c r="AB65" i="20" s="1"/>
  <c r="AB66" i="20" s="1"/>
  <c r="AB67" i="20" s="1"/>
  <c r="Z38" i="20"/>
  <c r="Z65" i="20" s="1"/>
  <c r="Z66" i="20" s="1"/>
  <c r="Z67" i="20" s="1"/>
  <c r="R38" i="20"/>
  <c r="R65" i="20" s="1"/>
  <c r="R66" i="20" s="1"/>
  <c r="R67" i="20" s="1"/>
  <c r="C8" i="6"/>
  <c r="L51" i="20"/>
  <c r="L52" i="20" s="1"/>
  <c r="D69" i="20"/>
  <c r="D70" i="20" s="1"/>
  <c r="P38" i="20"/>
  <c r="P39" i="20" s="1"/>
  <c r="P40" i="20" s="1"/>
  <c r="AD42" i="20"/>
  <c r="AD43" i="20" s="1"/>
  <c r="J45" i="20"/>
  <c r="J46" i="20" s="1"/>
  <c r="Z57" i="20"/>
  <c r="Z58" i="20" s="1"/>
  <c r="E21" i="6"/>
  <c r="E22" i="6"/>
  <c r="D59" i="20"/>
  <c r="D60" i="20" s="1"/>
  <c r="D61" i="20" s="1"/>
  <c r="P51" i="20"/>
  <c r="P52" i="20" s="1"/>
  <c r="D56" i="20"/>
  <c r="D57" i="20" s="1"/>
  <c r="D58" i="20" s="1"/>
  <c r="AD48" i="20"/>
  <c r="AD49" i="20" s="1"/>
  <c r="J59" i="20"/>
  <c r="J60" i="20" s="1"/>
  <c r="J61" i="20" s="1"/>
  <c r="N59" i="20"/>
  <c r="N60" i="20" s="1"/>
  <c r="N61" i="20" s="1"/>
  <c r="R51" i="20"/>
  <c r="R52" i="20" s="1"/>
  <c r="AD56" i="20"/>
  <c r="AD57" i="20" s="1"/>
  <c r="AD58" i="20" s="1"/>
  <c r="J50" i="20"/>
  <c r="AN22" i="6"/>
  <c r="AN21" i="6"/>
  <c r="D53" i="20"/>
  <c r="D54" i="20" s="1"/>
  <c r="D55" i="20" s="1"/>
  <c r="J56" i="20"/>
  <c r="J57" i="20" s="1"/>
  <c r="J58" i="20" s="1"/>
  <c r="J53" i="20"/>
  <c r="J54" i="20" s="1"/>
  <c r="J55" i="20" s="1"/>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AB52" i="20" s="1"/>
  <c r="N42" i="20"/>
  <c r="N43" i="20" s="1"/>
  <c r="AD50" i="20"/>
  <c r="AD51" i="20" s="1"/>
  <c r="AD52" i="20" s="1"/>
  <c r="J42" i="20"/>
  <c r="J43" i="20" s="1"/>
  <c r="Q22" i="6"/>
  <c r="Q21" i="6"/>
  <c r="P21" i="6"/>
  <c r="P22" i="6"/>
  <c r="X51" i="20"/>
  <c r="T38" i="20"/>
  <c r="AD45" i="20"/>
  <c r="AD46" i="20" s="1"/>
  <c r="X38" i="20" l="1"/>
  <c r="X39" i="20" s="1"/>
  <c r="L39" i="20"/>
  <c r="L40" i="20" s="1"/>
  <c r="AB39" i="20"/>
  <c r="AB40" i="20" s="1"/>
  <c r="P65" i="20"/>
  <c r="P66" i="20" s="1"/>
  <c r="P67" i="20" s="1"/>
  <c r="N38" i="20"/>
  <c r="N65" i="20" s="1"/>
  <c r="N66" i="20" s="1"/>
  <c r="N67" i="20" s="1"/>
  <c r="R39" i="20"/>
  <c r="R40" i="20" s="1"/>
  <c r="Z39" i="20"/>
  <c r="Z40" i="20" s="1"/>
  <c r="D38" i="20"/>
  <c r="D39" i="20" s="1"/>
  <c r="D40" i="20" s="1"/>
  <c r="J38" i="20"/>
  <c r="V65" i="20"/>
  <c r="V66" i="20" s="1"/>
  <c r="V39" i="20"/>
  <c r="T65" i="20"/>
  <c r="T66" i="20" s="1"/>
  <c r="T39" i="20"/>
  <c r="D42" i="20"/>
  <c r="D43" i="20" s="1"/>
  <c r="S32" i="15"/>
  <c r="R31" i="15"/>
  <c r="S37" i="15" s="1"/>
  <c r="AB35" i="20"/>
  <c r="AD38" i="20"/>
  <c r="AF65" i="20"/>
  <c r="AF66" i="20" s="1"/>
  <c r="AF67" i="20" s="1"/>
  <c r="AF39" i="20"/>
  <c r="AF40" i="20" s="1"/>
  <c r="R35" i="20"/>
  <c r="J51" i="20"/>
  <c r="J52" i="20" s="1"/>
  <c r="L35" i="20"/>
  <c r="Z35" i="20"/>
  <c r="X65" i="20" l="1"/>
  <c r="X66" i="20" s="1"/>
  <c r="P35" i="20"/>
  <c r="H41" i="10" s="1"/>
  <c r="H47" i="10" s="1"/>
  <c r="H50" i="10" s="1"/>
  <c r="P108" i="20" s="1"/>
  <c r="P106" i="20" s="1"/>
  <c r="N39" i="20"/>
  <c r="N40" i="20" s="1"/>
  <c r="D65" i="20"/>
  <c r="D35" i="20" s="1"/>
  <c r="C42" i="10" s="1"/>
  <c r="C48" i="10" s="1"/>
  <c r="C51" i="10" s="1"/>
  <c r="D108" i="20" s="1"/>
  <c r="A80" i="20"/>
  <c r="AF35" i="20"/>
  <c r="AF36" i="20" s="1"/>
  <c r="AF37" i="20" s="1"/>
  <c r="AB36" i="20"/>
  <c r="AB37" i="20" s="1"/>
  <c r="AB12" i="20"/>
  <c r="N41" i="10"/>
  <c r="N47" i="10" s="1"/>
  <c r="N50" i="10" s="1"/>
  <c r="AB108" i="20" s="1"/>
  <c r="AB106" i="20" s="1"/>
  <c r="N35" i="20"/>
  <c r="R12" i="20"/>
  <c r="R36" i="20"/>
  <c r="R37" i="20" s="1"/>
  <c r="I41" i="10"/>
  <c r="I47" i="10" s="1"/>
  <c r="I50" i="10" s="1"/>
  <c r="R108" i="20" s="1"/>
  <c r="R106" i="20" s="1"/>
  <c r="S36" i="15"/>
  <c r="W37" i="15"/>
  <c r="V35" i="20"/>
  <c r="J65" i="20"/>
  <c r="J66" i="20" s="1"/>
  <c r="J67" i="20" s="1"/>
  <c r="J39" i="20"/>
  <c r="J40" i="20" s="1"/>
  <c r="Z36" i="20"/>
  <c r="Z37" i="20" s="1"/>
  <c r="M41" i="10"/>
  <c r="M47" i="10" s="1"/>
  <c r="M50" i="10" s="1"/>
  <c r="Z108" i="20" s="1"/>
  <c r="Z106" i="20" s="1"/>
  <c r="Z12" i="20"/>
  <c r="AD65" i="20"/>
  <c r="AD66" i="20" s="1"/>
  <c r="AD67" i="20" s="1"/>
  <c r="AD39" i="20"/>
  <c r="AD40" i="20" s="1"/>
  <c r="S31" i="15"/>
  <c r="W32" i="15"/>
  <c r="T35" i="20"/>
  <c r="L36" i="20"/>
  <c r="L37" i="20" s="1"/>
  <c r="L12" i="20"/>
  <c r="F42" i="10"/>
  <c r="F48" i="10" s="1"/>
  <c r="F51" i="10" s="1"/>
  <c r="L108" i="20" s="1"/>
  <c r="L106" i="20" s="1"/>
  <c r="X35" i="20" l="1"/>
  <c r="X12" i="20" s="1"/>
  <c r="AB100" i="20"/>
  <c r="AB107" i="20"/>
  <c r="Z100" i="20"/>
  <c r="Z107" i="20"/>
  <c r="R100" i="20"/>
  <c r="R107" i="20"/>
  <c r="P100" i="20"/>
  <c r="P107" i="20"/>
  <c r="L100" i="20"/>
  <c r="L107" i="20"/>
  <c r="P36" i="20"/>
  <c r="P37" i="20" s="1"/>
  <c r="P12" i="20"/>
  <c r="P9" i="20" s="1"/>
  <c r="P10" i="20" s="1"/>
  <c r="P11" i="20" s="1"/>
  <c r="D66" i="20"/>
  <c r="D67" i="20" s="1"/>
  <c r="C80" i="20"/>
  <c r="D76" i="20"/>
  <c r="D77" i="20" s="1"/>
  <c r="AF12" i="20"/>
  <c r="AF13" i="20" s="1"/>
  <c r="AF14" i="20" s="1"/>
  <c r="D36" i="20"/>
  <c r="D37" i="20" s="1"/>
  <c r="J35" i="20"/>
  <c r="E42" i="10" s="1"/>
  <c r="E48" i="10" s="1"/>
  <c r="E51" i="10" s="1"/>
  <c r="J108" i="20" s="1"/>
  <c r="J106" i="20" s="1"/>
  <c r="D12" i="20"/>
  <c r="P41" i="10"/>
  <c r="P47" i="10" s="1"/>
  <c r="P50" i="10" s="1"/>
  <c r="AF108" i="20" s="1"/>
  <c r="AF106" i="20" s="1"/>
  <c r="S6" i="15"/>
  <c r="W31" i="15"/>
  <c r="C48" i="16"/>
  <c r="F48" i="16" s="1"/>
  <c r="AD35" i="20"/>
  <c r="Z13" i="20"/>
  <c r="Z14" i="20" s="1"/>
  <c r="Z9" i="20"/>
  <c r="Z10" i="20" s="1"/>
  <c r="Z11" i="20" s="1"/>
  <c r="N36" i="20"/>
  <c r="N37" i="20" s="1"/>
  <c r="N12" i="20"/>
  <c r="G41" i="10"/>
  <c r="G47" i="10" s="1"/>
  <c r="G50" i="10" s="1"/>
  <c r="N108" i="20" s="1"/>
  <c r="N106" i="20" s="1"/>
  <c r="L13" i="20"/>
  <c r="L14" i="20" s="1"/>
  <c r="L9" i="20"/>
  <c r="L10" i="20" s="1"/>
  <c r="L11" i="20" s="1"/>
  <c r="V36" i="20"/>
  <c r="V37" i="20" s="1"/>
  <c r="V12" i="20"/>
  <c r="K41" i="10"/>
  <c r="K47" i="10" s="1"/>
  <c r="K50" i="10" s="1"/>
  <c r="V108" i="20" s="1"/>
  <c r="V106" i="20" s="1"/>
  <c r="Q32" i="15"/>
  <c r="D106" i="20"/>
  <c r="W36" i="15"/>
  <c r="C51" i="16"/>
  <c r="F51" i="16" s="1"/>
  <c r="R9" i="20"/>
  <c r="R10" i="20" s="1"/>
  <c r="R11" i="20" s="1"/>
  <c r="R13" i="20"/>
  <c r="R14" i="20" s="1"/>
  <c r="AB13" i="20"/>
  <c r="AB14" i="20" s="1"/>
  <c r="AB9" i="20"/>
  <c r="AB10" i="20" s="1"/>
  <c r="AB11" i="20" s="1"/>
  <c r="T36" i="20"/>
  <c r="T12" i="20"/>
  <c r="J41" i="10"/>
  <c r="J47" i="10" s="1"/>
  <c r="J50" i="10" s="1"/>
  <c r="T108" i="20" s="1"/>
  <c r="T106" i="20" s="1"/>
  <c r="L41" i="10" l="1"/>
  <c r="L47" i="10" s="1"/>
  <c r="L50" i="10" s="1"/>
  <c r="X108" i="20" s="1"/>
  <c r="X106" i="20" s="1"/>
  <c r="X107" i="20" s="1"/>
  <c r="X36" i="20"/>
  <c r="X37" i="20" s="1"/>
  <c r="AF9" i="20"/>
  <c r="AF10" i="20" s="1"/>
  <c r="AF11" i="20" s="1"/>
  <c r="F95" i="15"/>
  <c r="E24" i="16"/>
  <c r="D11" i="16" s="1"/>
  <c r="D9" i="20"/>
  <c r="D10" i="20" s="1"/>
  <c r="D11" i="20" s="1"/>
  <c r="D21" i="16"/>
  <c r="D20" i="16" s="1"/>
  <c r="AF100" i="20"/>
  <c r="AF107" i="20"/>
  <c r="AB18" i="20"/>
  <c r="AB101" i="20"/>
  <c r="Z18" i="20"/>
  <c r="Z101" i="20"/>
  <c r="V100" i="20"/>
  <c r="V107" i="20"/>
  <c r="T100" i="20"/>
  <c r="T107" i="20"/>
  <c r="R18" i="20"/>
  <c r="R101" i="20"/>
  <c r="P18" i="20"/>
  <c r="P101" i="20"/>
  <c r="N100" i="20"/>
  <c r="N107" i="20"/>
  <c r="L18" i="20"/>
  <c r="L101" i="20"/>
  <c r="D100" i="20"/>
  <c r="D107" i="20"/>
  <c r="J100" i="20"/>
  <c r="J107" i="20"/>
  <c r="P13" i="20"/>
  <c r="P14" i="20" s="1"/>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9" i="20"/>
  <c r="T10" i="20" s="1"/>
  <c r="T11" i="20" s="1"/>
  <c r="V13" i="20"/>
  <c r="V14" i="20" s="1"/>
  <c r="V9" i="20"/>
  <c r="V10" i="20" s="1"/>
  <c r="V11" i="20" s="1"/>
  <c r="AD36" i="20"/>
  <c r="AD37" i="20" s="1"/>
  <c r="AD12" i="20"/>
  <c r="O41" i="10"/>
  <c r="O47" i="10" s="1"/>
  <c r="O50" i="10" s="1"/>
  <c r="AD108" i="20" s="1"/>
  <c r="AD106" i="20" s="1"/>
  <c r="X13" i="20"/>
  <c r="X14" i="20" s="1"/>
  <c r="X9" i="20"/>
  <c r="X10" i="20" s="1"/>
  <c r="X11" i="20" s="1"/>
  <c r="Q31" i="15"/>
  <c r="X32" i="15"/>
  <c r="N13" i="20"/>
  <c r="N14" i="20" s="1"/>
  <c r="N9" i="20"/>
  <c r="N10" i="20" s="1"/>
  <c r="N11" i="20" s="1"/>
  <c r="W6" i="15"/>
  <c r="X100" i="20" l="1"/>
  <c r="X101" i="20" s="1"/>
  <c r="D14" i="20"/>
  <c r="E21" i="16"/>
  <c r="E20" i="16" s="1"/>
  <c r="F93" i="15" s="1"/>
  <c r="D101" i="20"/>
  <c r="E23" i="16"/>
  <c r="F94" i="15" s="1"/>
  <c r="J13" i="20"/>
  <c r="J14" i="20" s="1"/>
  <c r="AF18" i="20"/>
  <c r="AF101" i="20"/>
  <c r="AD100" i="20"/>
  <c r="AD107" i="20"/>
  <c r="AB19" i="20"/>
  <c r="AB20" i="20" s="1"/>
  <c r="AB6" i="20"/>
  <c r="Z19" i="20"/>
  <c r="Z20" i="20" s="1"/>
  <c r="Z6" i="20"/>
  <c r="V18" i="20"/>
  <c r="V101" i="20"/>
  <c r="T18" i="20"/>
  <c r="T101" i="20"/>
  <c r="R19" i="20"/>
  <c r="R20" i="20" s="1"/>
  <c r="R6" i="20"/>
  <c r="P19" i="20"/>
  <c r="P20" i="20" s="1"/>
  <c r="P6" i="20"/>
  <c r="N18" i="20"/>
  <c r="N101" i="20"/>
  <c r="L19" i="20"/>
  <c r="L20" i="20" s="1"/>
  <c r="L6" i="20"/>
  <c r="D18" i="20"/>
  <c r="D115" i="20"/>
  <c r="J18" i="20"/>
  <c r="J19" i="20" s="1"/>
  <c r="J20" i="20" s="1"/>
  <c r="J101" i="20"/>
  <c r="X31" i="15"/>
  <c r="Y32" i="15"/>
  <c r="Y31" i="15" s="1"/>
  <c r="Y6" i="15" s="1"/>
  <c r="AD9" i="20"/>
  <c r="AD10" i="20" s="1"/>
  <c r="AD11" i="20" s="1"/>
  <c r="AD13" i="20"/>
  <c r="AD14" i="20" s="1"/>
  <c r="X18" i="20" l="1"/>
  <c r="X19" i="20" s="1"/>
  <c r="X20" i="20" s="1"/>
  <c r="C27" i="20"/>
  <c r="D23" i="16"/>
  <c r="D19" i="16" s="1"/>
  <c r="AF19" i="20"/>
  <c r="AF20" i="20" s="1"/>
  <c r="AF6" i="20"/>
  <c r="AD18" i="20"/>
  <c r="AD101" i="20"/>
  <c r="AB23" i="20"/>
  <c r="AB24" i="20" s="1"/>
  <c r="AB7" i="20"/>
  <c r="AB8" i="20" s="1"/>
  <c r="Z7" i="20"/>
  <c r="Z8" i="20" s="1"/>
  <c r="Z23" i="20"/>
  <c r="Z24" i="20" s="1"/>
  <c r="V19" i="20"/>
  <c r="V20" i="20" s="1"/>
  <c r="V6" i="20"/>
  <c r="T19" i="20"/>
  <c r="T20" i="20" s="1"/>
  <c r="T6" i="20"/>
  <c r="R7" i="20"/>
  <c r="R8" i="20" s="1"/>
  <c r="R23" i="20"/>
  <c r="R24" i="20" s="1"/>
  <c r="P23" i="20"/>
  <c r="P24" i="20" s="1"/>
  <c r="P7" i="20"/>
  <c r="P8" i="20" s="1"/>
  <c r="N19" i="20"/>
  <c r="N20" i="20" s="1"/>
  <c r="N6" i="20"/>
  <c r="L7" i="20"/>
  <c r="L8" i="20" s="1"/>
  <c r="L23" i="20"/>
  <c r="L24" i="20" s="1"/>
  <c r="D19" i="20"/>
  <c r="D20" i="20" s="1"/>
  <c r="D6" i="20"/>
  <c r="D7" i="20" s="1"/>
  <c r="F96" i="15" s="1"/>
  <c r="F97" i="15" s="1"/>
  <c r="J6" i="20"/>
  <c r="J7" i="20" s="1"/>
  <c r="J8" i="20" s="1"/>
  <c r="X6" i="20" l="1"/>
  <c r="X23" i="20" s="1"/>
  <c r="X24" i="20" s="1"/>
  <c r="C36" i="16"/>
  <c r="F89" i="15"/>
  <c r="AF7" i="20"/>
  <c r="AF8" i="20" s="1"/>
  <c r="AF23" i="20"/>
  <c r="AF24" i="20" s="1"/>
  <c r="AD19" i="20"/>
  <c r="AD20" i="20" s="1"/>
  <c r="AD6" i="20"/>
  <c r="V23" i="20"/>
  <c r="V24" i="20" s="1"/>
  <c r="V7" i="20"/>
  <c r="V8" i="20" s="1"/>
  <c r="T23" i="20"/>
  <c r="T24" i="20" s="1"/>
  <c r="T7" i="20"/>
  <c r="T8" i="20" s="1"/>
  <c r="N23" i="20"/>
  <c r="N24" i="20" s="1"/>
  <c r="N7" i="20"/>
  <c r="N8" i="20" s="1"/>
  <c r="D23" i="20"/>
  <c r="J23" i="20"/>
  <c r="J24" i="20" s="1"/>
  <c r="D24" i="20"/>
  <c r="D8" i="20"/>
  <c r="X7" i="20" l="1"/>
  <c r="X8" i="20" s="1"/>
  <c r="F90" i="15"/>
  <c r="C35" i="16"/>
  <c r="C37" i="16" s="1"/>
  <c r="F91" i="15" s="1"/>
  <c r="AD7" i="20"/>
  <c r="AD8" i="20" s="1"/>
  <c r="AD23" i="20"/>
  <c r="AD24" i="20" s="1"/>
  <c r="C33" i="16" l="1"/>
  <c r="C34" i="16" s="1"/>
  <c r="D34" i="16" s="1"/>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<sst xmlns="http://schemas.openxmlformats.org/spreadsheetml/2006/main" count="5354" uniqueCount="1949">
  <si>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</si>
  <si>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</si>
  <si>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</si>
  <si>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</si>
  <si>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</si>
  <si>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</si>
  <si>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</si>
  <si>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</si>
  <si>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</si>
  <si>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</si>
  <si>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</si>
  <si>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</si>
  <si>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</si>
  <si>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</si>
  <si>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</si>
  <si>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</si>
  <si>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</si>
  <si>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</si>
  <si>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</si>
  <si>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</si>
  <si>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</si>
  <si>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</si>
  <si>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</si>
  <si>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</si>
  <si>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</si>
  <si>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</si>
  <si>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</si>
  <si>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</si>
  <si>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</si>
  <si>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</si>
  <si>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</si>
  <si>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</si>
  <si>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</si>
  <si>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</si>
  <si>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</si>
  <si>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</si>
  <si>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</si>
  <si>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</si>
  <si>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</si>
  <si>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</si>
  <si>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</si>
  <si>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</si>
  <si>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</si>
  <si>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</si>
  <si>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</si>
  <si>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</si>
  <si>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</si>
  <si>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</si>
  <si>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</si>
  <si>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</si>
  <si>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</si>
  <si>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</si>
  <si>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</si>
  <si>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</si>
  <si>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</si>
  <si>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</si>
  <si>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</si>
  <si>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</si>
  <si>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</si>
  <si>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</si>
  <si>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</si>
  <si>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</si>
  <si>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</si>
  <si>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</si>
  <si>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</si>
  <si>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</si>
  <si>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</si>
  <si>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</si>
  <si>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</si>
  <si>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</si>
  <si>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</si>
  <si>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</si>
  <si>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</si>
  <si>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</si>
  <si>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</si>
  <si>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</si>
  <si>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</si>
  <si>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</si>
  <si>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</si>
  <si>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</si>
  <si>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</si>
  <si>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</si>
  <si>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</si>
  <si>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</si>
  <si>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</si>
  <si>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</si>
  <si>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</si>
  <si>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</si>
  <si>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</si>
  <si>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</si>
  <si>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</si>
  <si>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</si>
  <si>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</si>
  <si>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</si>
  <si>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</si>
  <si>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</si>
  <si>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</si>
  <si>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</si>
  <si>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</si>
  <si>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</si>
  <si>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</si>
  <si>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</si>
  <si>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</si>
  <si>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</si>
  <si>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</si>
  <si>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</si>
  <si>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</si>
  <si>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</si>
  <si>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</si>
  <si>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</si>
  <si>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</si>
  <si>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</si>
  <si>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</si>
  <si>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</si>
  <si>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</si>
  <si>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</si>
  <si>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</si>
  <si>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</si>
  <si>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</si>
  <si>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</si>
  <si>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</si>
  <si>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</si>
  <si>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</si>
  <si>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</si>
  <si>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</si>
  <si>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</si>
  <si>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</si>
  <si>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</si>
  <si>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</si>
  <si>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</si>
  <si>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</si>
  <si>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</si>
  <si>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</si>
  <si>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</si>
  <si>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</si>
  <si>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</si>
  <si>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</si>
  <si>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</si>
  <si>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</si>
  <si>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</si>
  <si>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</si>
  <si>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</si>
  <si>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</si>
  <si>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</si>
  <si>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</si>
  <si>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</si>
  <si>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</si>
  <si>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</si>
  <si>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</si>
  <si>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</si>
  <si>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</si>
  <si>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</si>
  <si>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</si>
  <si>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</si>
  <si>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</si>
  <si>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</si>
  <si>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</si>
  <si>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</si>
  <si>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</si>
  <si>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</si>
  <si>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</si>
  <si>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</si>
  <si>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</si>
  <si>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</si>
  <si>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</si>
  <si>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</si>
  <si>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</si>
  <si>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</si>
  <si>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</si>
  <si>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</si>
  <si>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</si>
  <si>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</si>
  <si>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</si>
  <si>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</si>
  <si>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</si>
  <si>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</si>
  <si>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</si>
  <si>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</si>
  <si>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</si>
  <si>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</si>
  <si>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</si>
  <si>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</si>
  <si>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</si>
  <si>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</si>
  <si>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</si>
  <si>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</si>
  <si>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</si>
  <si>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</si>
  <si>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</si>
  <si>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</si>
  <si>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</si>
  <si>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</si>
  <si>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</si>
  <si>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</si>
  <si>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</si>
  <si>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</si>
  <si>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</si>
  <si>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</si>
  <si>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</si>
  <si>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</si>
  <si>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</si>
  <si>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</si>
  <si>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</si>
  <si>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</si>
  <si>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</si>
  <si>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</si>
  <si>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</si>
  <si>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</si>
  <si>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</si>
  <si>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</si>
  <si>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</si>
  <si>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</si>
  <si>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</si>
  <si>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</si>
  <si>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</si>
  <si>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</si>
  <si>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</si>
  <si>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</si>
  <si>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</si>
  <si>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</si>
  <si>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</si>
  <si>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</si>
  <si>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</si>
  <si>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</si>
  <si>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</si>
  <si>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</si>
  <si>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</si>
  <si>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</si>
  <si>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</si>
  <si>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</si>
  <si>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</si>
  <si>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</si>
  <si>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</si>
  <si>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</si>
  <si>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</si>
  <si>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</si>
  <si>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</si>
  <si>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</si>
  <si>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</si>
  <si>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</si>
  <si>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</si>
  <si>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</si>
  <si>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</si>
  <si>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</si>
  <si>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</si>
  <si>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</si>
  <si>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</si>
  <si>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</si>
  <si>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</si>
  <si>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</si>
  <si>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</si>
  <si>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</si>
  <si>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</si>
  <si>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</si>
  <si>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</si>
  <si>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</si>
  <si>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</si>
  <si>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</si>
  <si>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</si>
  <si>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</si>
  <si>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</si>
  <si>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</si>
  <si>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</si>
  <si>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</si>
  <si>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</si>
  <si>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</si>
  <si>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</si>
  <si>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</si>
  <si>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</si>
  <si>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</si>
  <si>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</si>
  <si>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</si>
  <si>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</si>
  <si>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</si>
  <si>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</si>
  <si>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</si>
  <si>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</si>
  <si>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</si>
  <si>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</si>
  <si>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</si>
  <si>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</si>
  <si>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</si>
  <si>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</si>
  <si>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</si>
  <si>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</si>
  <si>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</si>
  <si>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</si>
  <si>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</si>
  <si>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</si>
  <si>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</si>
  <si>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</si>
  <si>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</si>
  <si>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</si>
  <si>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</si>
  <si>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</si>
  <si>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</si>
  <si>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</si>
  <si>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</si>
  <si>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</si>
  <si>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</si>
  <si>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</si>
  <si>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</si>
  <si>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</si>
  <si>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</si>
  <si>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</si>
  <si>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</si>
  <si>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</si>
  <si>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</si>
  <si>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</si>
  <si>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</si>
  <si>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</si>
  <si>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</si>
  <si>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</si>
  <si>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</si>
  <si>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</si>
  <si>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</si>
  <si>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</si>
  <si>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</si>
  <si>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</si>
  <si>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</si>
  <si>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</si>
  <si>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</si>
  <si>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</si>
  <si>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</si>
  <si>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</si>
  <si>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</si>
  <si>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</si>
  <si>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</si>
  <si>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</si>
  <si>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</si>
  <si>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</si>
  <si>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</si>
  <si>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</si>
  <si>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</si>
  <si>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</si>
  <si>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</si>
  <si>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</si>
  <si>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</si>
  <si>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</si>
  <si>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</si>
  <si>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</si>
  <si>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</si>
  <si>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</si>
  <si>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</si>
  <si>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</si>
  <si>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</si>
  <si>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</si>
  <si>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</si>
  <si>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</si>
  <si>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</si>
  <si>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</si>
  <si>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</si>
  <si>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</si>
  <si>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</si>
  <si>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</si>
  <si>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</si>
  <si>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</si>
  <si>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</si>
  <si>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</si>
  <si>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</si>
  <si>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</si>
  <si>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</si>
  <si>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</si>
  <si>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</si>
  <si>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</si>
  <si>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</si>
  <si>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</si>
  <si>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</si>
  <si>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</si>
  <si>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</si>
  <si>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</si>
  <si>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</si>
  <si>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</si>
  <si>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</si>
  <si>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</si>
  <si>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</si>
  <si>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</si>
  <si>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</si>
  <si>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</si>
  <si>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</si>
  <si>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</si>
  <si>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</si>
  <si>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</si>
  <si>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</si>
  <si>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</si>
  <si>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</si>
  <si>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</si>
  <si>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</si>
  <si>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</si>
  <si>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</si>
  <si>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</si>
  <si>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</si>
  <si>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</si>
  <si>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</si>
  <si>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</si>
  <si>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</si>
  <si>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</si>
  <si>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</si>
  <si>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</si>
  <si>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</si>
  <si>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</si>
  <si>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</si>
  <si>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</si>
  <si>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</si>
  <si>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</si>
  <si>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</si>
  <si>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</si>
  <si>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</si>
  <si>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</si>
  <si>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</si>
  <si>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</si>
  <si>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</si>
  <si>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</si>
  <si>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</si>
  <si>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</si>
  <si>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</si>
  <si>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</si>
  <si>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</si>
  <si>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</si>
  <si>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</si>
  <si>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</si>
  <si>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</si>
  <si>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</si>
  <si>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</si>
  <si>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</si>
  <si>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</si>
  <si>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</si>
  <si>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</si>
  <si>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</si>
  <si>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</si>
  <si>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</si>
  <si>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</si>
  <si>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</si>
  <si>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</si>
  <si>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</si>
  <si>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</si>
  <si>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</si>
  <si>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</si>
  <si>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</si>
  <si>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</si>
  <si>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</si>
  <si>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</si>
  <si>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</si>
  <si>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</si>
  <si>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</si>
  <si>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</si>
  <si>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</si>
  <si>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</si>
  <si>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</si>
  <si>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</si>
  <si>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</si>
  <si>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</si>
  <si>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</si>
  <si>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</si>
  <si>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</si>
  <si>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</si>
  <si>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</si>
  <si>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</si>
  <si>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</si>
  <si>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</si>
  <si>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</si>
  <si>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</si>
  <si>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</si>
  <si>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</si>
  <si>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</si>
  <si>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</si>
  <si>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</si>
  <si>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</si>
  <si>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</si>
  <si>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</si>
  <si>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</si>
  <si>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</si>
  <si>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</si>
  <si>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</si>
  <si>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</si>
  <si>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</si>
  <si>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</si>
  <si>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</si>
  <si>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</si>
  <si>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</si>
  <si>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</si>
  <si>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</si>
  <si>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</si>
  <si>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</si>
  <si>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</si>
  <si>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</si>
  <si>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</si>
  <si>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</si>
  <si>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</si>
  <si>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</si>
  <si>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</si>
  <si>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</si>
  <si>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</si>
  <si>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</si>
  <si>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</si>
  <si>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</si>
  <si>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</si>
  <si>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</si>
  <si>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</si>
  <si>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</si>
  <si>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</si>
  <si>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</si>
  <si>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</si>
  <si>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</si>
  <si>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</si>
  <si>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</si>
  <si>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</si>
  <si>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</si>
  <si>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</si>
  <si>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</si>
  <si>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</si>
  <si>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</si>
  <si>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</si>
  <si>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</si>
  <si>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</si>
  <si>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</si>
  <si>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</si>
  <si>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</si>
  <si>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</si>
  <si>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</si>
  <si>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</si>
  <si>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</si>
  <si>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</si>
  <si>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</si>
  <si>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</si>
  <si>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</si>
  <si>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</si>
  <si>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</si>
  <si>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</si>
  <si>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</si>
  <si>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</si>
  <si>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</si>
  <si>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</si>
  <si>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</si>
  <si>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</si>
  <si>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</si>
  <si>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</si>
  <si>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</si>
  <si>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</si>
  <si>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</si>
  <si>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</si>
  <si>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</si>
  <si>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</si>
  <si>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</si>
  <si>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</si>
  <si>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</si>
  <si>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</si>
  <si>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</si>
  <si>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</si>
  <si>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</si>
  <si>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</si>
  <si>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</si>
  <si>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</si>
  <si>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</si>
  <si>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</si>
  <si>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</si>
  <si>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</si>
  <si>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</si>
  <si>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</si>
  <si>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</si>
  <si>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</si>
  <si>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</si>
  <si>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</si>
  <si>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</si>
  <si>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</si>
  <si>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</si>
  <si>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</si>
  <si>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</si>
  <si>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</si>
  <si>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</si>
  <si>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</si>
  <si>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</si>
  <si>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</si>
  <si>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</si>
  <si>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</si>
  <si>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</si>
  <si>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</si>
  <si>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</si>
  <si>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</si>
  <si>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</si>
  <si>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</si>
  <si>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</si>
  <si>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</si>
  <si>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</si>
  <si>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</si>
  <si>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</si>
  <si>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</si>
  <si>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</si>
  <si>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</si>
  <si>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</si>
  <si>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</si>
  <si>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</si>
  <si>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</si>
  <si>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</si>
  <si>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</si>
  <si>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</si>
  <si>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</si>
  <si>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</si>
  <si>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</si>
  <si>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</si>
  <si>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</si>
  <si>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</si>
  <si>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</si>
  <si>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</si>
  <si>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</si>
  <si>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</si>
  <si>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</si>
  <si>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</si>
  <si>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</si>
  <si>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</si>
  <si>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</si>
  <si>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</si>
  <si>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</si>
  <si>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</si>
  <si>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</si>
  <si>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</si>
  <si>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</si>
  <si>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</si>
  <si>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</si>
  <si>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</si>
  <si>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</si>
  <si>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</si>
  <si>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</si>
  <si>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</si>
  <si>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</si>
  <si>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</si>
  <si>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</si>
  <si>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</si>
  <si>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</si>
  <si>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</si>
  <si>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</si>
  <si>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</si>
  <si>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</si>
  <si>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</si>
  <si>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</si>
  <si>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</si>
  <si>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</si>
  <si>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</si>
  <si>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</si>
  <si>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</si>
  <si>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</si>
  <si>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</si>
  <si>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</si>
  <si>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</si>
  <si>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</si>
  <si>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</si>
  <si>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</si>
  <si>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</si>
  <si>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</si>
  <si>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</si>
  <si>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</si>
  <si>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</si>
  <si>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</si>
  <si>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</si>
  <si>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</si>
  <si>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</si>
  <si>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</si>
  <si>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</si>
  <si>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</si>
  <si>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</si>
  <si>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</si>
  <si>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</si>
  <si>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</si>
  <si>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</si>
  <si>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</si>
  <si>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</si>
  <si>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</si>
  <si>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</si>
  <si>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</si>
  <si>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</si>
  <si>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</si>
  <si>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</si>
  <si>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</si>
  <si>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</si>
  <si>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</si>
  <si>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</si>
  <si>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</si>
  <si>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</si>
  <si>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</si>
  <si>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</si>
  <si>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</si>
  <si>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</si>
  <si>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</si>
  <si>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</si>
  <si>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</si>
  <si>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</si>
  <si>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</si>
  <si>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</si>
  <si>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</si>
  <si>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</si>
  <si>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</si>
  <si>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</si>
  <si>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</si>
  <si>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</si>
  <si>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</si>
  <si>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</si>
  <si>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</si>
  <si>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</si>
  <si>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</si>
  <si>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</si>
  <si>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</si>
  <si>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</si>
  <si>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</si>
  <si>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</si>
  <si>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</si>
  <si>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</si>
  <si>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</si>
  <si>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</si>
  <si>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</si>
  <si>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</si>
  <si>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</si>
  <si>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</si>
  <si>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</si>
  <si>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</si>
  <si>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</si>
  <si>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</si>
  <si>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</si>
  <si>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</si>
  <si>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</si>
  <si>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</si>
  <si>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</si>
  <si>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</si>
  <si>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</si>
  <si>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</si>
  <si>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</si>
  <si>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</si>
  <si>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</si>
  <si>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</si>
  <si>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</si>
  <si>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</si>
  <si>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</si>
  <si>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</si>
  <si>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</si>
  <si>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</si>
  <si>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</si>
  <si>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</si>
  <si>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</si>
  <si>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</si>
  <si>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</si>
  <si>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</si>
  <si>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</si>
  <si>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</si>
  <si>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</si>
  <si>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</si>
  <si>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</si>
  <si>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</si>
  <si>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</si>
  <si>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</si>
  <si>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</si>
  <si>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</si>
  <si>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</si>
  <si>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</si>
  <si>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</si>
  <si>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</si>
  <si>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</si>
  <si>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</si>
  <si>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</si>
  <si>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</si>
  <si>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</si>
  <si>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</si>
  <si>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</si>
  <si>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</si>
  <si>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</si>
  <si>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</si>
  <si>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</si>
  <si>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</si>
  <si>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</si>
  <si>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</si>
  <si>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</si>
  <si>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</si>
  <si>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</si>
  <si>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</si>
  <si>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</si>
  <si>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</si>
  <si>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</si>
  <si>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</si>
  <si>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</si>
  <si>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</si>
  <si>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</si>
  <si>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</si>
  <si>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</si>
  <si>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</si>
  <si>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</si>
  <si>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</si>
  <si>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</si>
  <si>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</si>
  <si>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</si>
  <si>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</si>
  <si>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</si>
  <si>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</si>
  <si>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</si>
  <si>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</si>
  <si>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</si>
  <si>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</si>
  <si>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</si>
  <si>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</si>
  <si>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</si>
  <si>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</si>
  <si>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</si>
  <si>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</si>
  <si>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</si>
  <si>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</si>
  <si>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</si>
  <si>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</si>
  <si>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</si>
  <si>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</si>
  <si>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</si>
  <si>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</si>
  <si>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</si>
  <si>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</si>
  <si>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</si>
  <si>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</si>
  <si>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</si>
  <si>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</si>
  <si>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</si>
  <si>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</si>
  <si>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</si>
  <si>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</si>
  <si>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</si>
  <si>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</si>
  <si>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</si>
  <si>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</si>
  <si>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</si>
  <si>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</si>
  <si>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</si>
  <si>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</si>
  <si>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</si>
  <si>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</si>
  <si>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</si>
  <si>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</si>
  <si>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</si>
  <si>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</si>
  <si>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</si>
  <si>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</si>
  <si>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</si>
  <si>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</si>
  <si>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</si>
  <si>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</si>
  <si>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</si>
  <si>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</si>
  <si>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</si>
  <si>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</si>
  <si>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</si>
  <si>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</si>
  <si>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</si>
  <si>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</si>
  <si>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</si>
  <si>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</si>
  <si>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</si>
  <si>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</si>
  <si>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</si>
  <si>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</si>
  <si>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</si>
  <si>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</si>
  <si>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</si>
  <si>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</si>
  <si>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</si>
  <si>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</si>
  <si>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</si>
  <si>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</si>
  <si>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</si>
  <si>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</si>
  <si>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</si>
  <si>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</si>
  <si>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</si>
  <si>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</si>
  <si>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</si>
  <si>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</si>
  <si>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</si>
  <si>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</si>
  <si>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</si>
  <si>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</si>
  <si>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</si>
  <si>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</si>
  <si>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</si>
  <si>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</si>
  <si>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</si>
  <si>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</si>
  <si>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</si>
  <si>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</si>
  <si>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</si>
  <si>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</si>
  <si>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</si>
  <si>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</si>
  <si>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</si>
  <si>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</si>
  <si>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</si>
  <si>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</si>
  <si>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</si>
  <si>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</si>
  <si>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</si>
  <si>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</si>
  <si>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</si>
  <si>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</si>
  <si>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</si>
  <si>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</si>
  <si>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</si>
  <si>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</si>
  <si>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</si>
  <si>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</si>
  <si>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</si>
  <si>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</si>
  <si>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</si>
  <si>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</si>
  <si>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</si>
  <si>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</si>
  <si>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</si>
  <si>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</si>
  <si>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</si>
  <si>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</si>
  <si>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</si>
  <si>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</si>
  <si>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</si>
  <si>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</si>
  <si>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</si>
  <si>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</si>
  <si>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</si>
  <si>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</si>
  <si>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</si>
  <si>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</si>
  <si>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</si>
  <si>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</si>
  <si>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</si>
  <si>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</si>
  <si>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</si>
  <si>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</si>
  <si>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</si>
  <si>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</si>
  <si>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</si>
  <si>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</si>
  <si>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</si>
  <si>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</si>
  <si>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</si>
  <si>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</si>
  <si>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</si>
  <si>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</si>
  <si>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</si>
  <si>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</si>
  <si>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</si>
  <si>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</si>
  <si>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</si>
  <si>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</si>
  <si>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</si>
  <si>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</si>
  <si>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</si>
  <si>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</si>
  <si>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</si>
  <si>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</si>
  <si>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</si>
  <si>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</si>
  <si>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</si>
  <si>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</si>
  <si>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</si>
  <si>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</si>
  <si>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</si>
  <si>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</si>
  <si>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</si>
  <si>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</si>
  <si>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</si>
  <si>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</si>
  <si>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</si>
  <si>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</si>
  <si>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</si>
  <si>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</si>
  <si>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</si>
  <si>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</si>
  <si>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</si>
  <si>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</si>
  <si>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</si>
  <si>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</si>
  <si>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</si>
  <si>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</si>
  <si>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</si>
  <si>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</si>
  <si>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</si>
  <si>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</si>
  <si>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</si>
  <si>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</si>
  <si>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</si>
  <si>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</si>
  <si>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</si>
  <si>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</si>
  <si>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</si>
  <si>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</si>
  <si>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</si>
  <si>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</si>
  <si>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</si>
  <si>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</si>
  <si>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</si>
  <si>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</si>
  <si>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</si>
  <si>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</si>
  <si>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</si>
  <si>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</si>
  <si>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</si>
  <si>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</si>
  <si>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</si>
  <si>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</si>
  <si>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</si>
  <si>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</si>
  <si>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</si>
  <si>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</si>
  <si>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</si>
  <si>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</si>
  <si>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</si>
  <si>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</si>
  <si>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</si>
  <si>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</si>
  <si>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</si>
  <si>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</si>
  <si>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</si>
  <si>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</si>
  <si>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</si>
  <si>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</si>
  <si>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</si>
  <si>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</si>
  <si>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</si>
  <si>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</si>
  <si>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</si>
  <si>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</si>
  <si>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</si>
  <si>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</si>
  <si>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</si>
  <si>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</si>
  <si>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</si>
  <si>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</si>
  <si>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</si>
  <si>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</si>
  <si>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</si>
  <si>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</si>
  <si>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</si>
  <si>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</si>
  <si>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</si>
  <si>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</si>
  <si>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</si>
  <si>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</si>
  <si>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</si>
  <si>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</si>
  <si>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</si>
  <si>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</si>
  <si>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</si>
  <si>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</si>
  <si>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</si>
  <si>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</si>
  <si>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</si>
  <si>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</si>
  <si>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</si>
  <si>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</si>
  <si>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</si>
  <si>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</si>
  <si>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</si>
  <si>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</si>
  <si>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</si>
  <si>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</si>
  <si>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</si>
  <si>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</si>
  <si>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</si>
  <si>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</si>
  <si>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</si>
  <si>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</si>
  <si>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</si>
  <si>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</si>
  <si>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</si>
  <si>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</si>
  <si>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</si>
  <si>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</si>
  <si>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</si>
  <si>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</si>
  <si>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</si>
  <si>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</si>
  <si>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</si>
  <si>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</si>
  <si>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</si>
  <si>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</si>
  <si>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</si>
  <si>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</si>
  <si>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</si>
  <si>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</si>
  <si>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</si>
  <si>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</si>
  <si>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</si>
  <si>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</si>
  <si>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</si>
  <si>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</si>
  <si>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</si>
  <si>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</si>
  <si>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</si>
  <si>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</si>
  <si>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</si>
  <si>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</si>
  <si>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</si>
  <si>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</si>
  <si>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</si>
  <si>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</si>
  <si>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</si>
  <si>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</si>
  <si>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</si>
  <si>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</si>
  <si>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</si>
  <si>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</si>
  <si>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</si>
  <si>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</si>
  <si>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</si>
  <si>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</si>
  <si>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</si>
  <si>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</si>
  <si>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</si>
  <si>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</si>
  <si>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</si>
  <si>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</si>
  <si>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</si>
  <si>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</si>
  <si>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</si>
  <si>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</si>
  <si>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</si>
  <si>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</si>
  <si>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</si>
  <si>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</si>
  <si>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</si>
  <si>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</si>
  <si>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</si>
  <si>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</si>
  <si>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</si>
  <si>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</si>
  <si>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</si>
  <si>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</si>
  <si>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</si>
  <si>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</si>
  <si>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</si>
  <si>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</si>
  <si>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</si>
  <si>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</si>
  <si>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</si>
  <si>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</si>
  <si>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</si>
  <si>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</si>
  <si>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</si>
  <si>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</si>
  <si>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</si>
  <si>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</si>
  <si>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</si>
  <si>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</si>
  <si>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</si>
  <si>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</si>
  <si>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</si>
  <si>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</si>
  <si>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</si>
  <si>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</si>
  <si>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</si>
  <si>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</si>
  <si>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</si>
  <si>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</si>
  <si>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</si>
  <si>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</si>
  <si>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</si>
  <si>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</si>
  <si>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</si>
  <si>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</si>
  <si>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</si>
  <si>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</si>
  <si>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</si>
  <si>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</si>
  <si>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</si>
  <si>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</si>
  <si>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</si>
  <si>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</si>
  <si>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</si>
  <si>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</si>
  <si>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</si>
  <si>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</si>
  <si>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</si>
  <si>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</si>
  <si>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</si>
  <si>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</si>
  <si>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</si>
  <si>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</si>
  <si>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</si>
  <si>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</si>
  <si>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</si>
  <si>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</si>
  <si>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</si>
  <si>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</si>
  <si>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</si>
  <si>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</si>
  <si>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</si>
  <si>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</si>
  <si>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</si>
  <si>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</si>
  <si>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</si>
  <si>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</si>
  <si>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</si>
  <si>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</si>
  <si>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</si>
  <si>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</si>
  <si>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</si>
  <si>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</si>
  <si>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</si>
  <si>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</si>
  <si>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</si>
  <si>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</si>
  <si>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</si>
  <si>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</si>
  <si>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</si>
  <si>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</si>
  <si>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</si>
  <si>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</si>
  <si>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</si>
  <si>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</si>
  <si>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</si>
  <si>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</si>
  <si>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</si>
  <si>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</si>
  <si>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</si>
  <si>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</si>
  <si>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</si>
  <si>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</si>
  <si>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</si>
  <si>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</si>
  <si>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</si>
  <si>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</si>
  <si>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</si>
  <si>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</si>
  <si>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</si>
  <si>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</si>
  <si>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</si>
  <si>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</si>
  <si>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</si>
  <si>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</si>
  <si>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</si>
  <si>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</si>
  <si>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</si>
  <si>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</si>
  <si>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</si>
  <si>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</si>
  <si>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</si>
  <si>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</si>
  <si>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</si>
  <si>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</si>
  <si>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</si>
  <si>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</si>
  <si>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</si>
  <si>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</si>
  <si>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</si>
  <si>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</si>
  <si>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</si>
  <si>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</si>
  <si>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</si>
  <si>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</si>
  <si>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</si>
  <si>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</si>
  <si>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</si>
  <si>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</si>
  <si>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</si>
  <si>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</si>
  <si>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</si>
  <si>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</si>
  <si>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</si>
  <si>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</si>
  <si>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</si>
  <si>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</si>
  <si>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</si>
  <si>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</si>
  <si>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</si>
  <si>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</si>
  <si>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</si>
  <si>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</si>
  <si>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</si>
  <si>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</si>
  <si>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</si>
  <si>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</si>
  <si>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</si>
  <si>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</si>
  <si>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</si>
  <si>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</si>
  <si>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</si>
  <si>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</si>
  <si>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</si>
  <si>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</si>
  <si>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</si>
  <si>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</si>
  <si>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</si>
  <si>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</si>
  <si>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</si>
  <si>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</si>
  <si>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</si>
  <si>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</si>
  <si>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</si>
  <si>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</si>
  <si>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</si>
  <si>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</si>
  <si>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</si>
  <si>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</si>
  <si>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</si>
  <si>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</si>
  <si>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</si>
  <si>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</si>
  <si>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</si>
  <si>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</si>
  <si>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</si>
  <si>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</si>
  <si>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</si>
  <si>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</si>
  <si>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</si>
  <si>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</si>
  <si>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</si>
  <si>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</si>
  <si>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</si>
  <si>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</si>
  <si>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</si>
  <si>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</si>
  <si>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</si>
  <si>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</si>
  <si>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</si>
  <si>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</si>
  <si>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</si>
  <si>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</si>
  <si>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</si>
  <si>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</si>
  <si>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</si>
  <si>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</si>
  <si>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</si>
  <si>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</si>
  <si>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</si>
  <si>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</si>
  <si>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</si>
  <si>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</si>
  <si>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</si>
  <si>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</si>
  <si>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</si>
  <si>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</si>
  <si>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</si>
  <si>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</si>
  <si>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</si>
  <si>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</si>
  <si>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</si>
  <si>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</si>
  <si>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</si>
  <si>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</si>
  <si>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</si>
  <si>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</si>
  <si>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</si>
  <si>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</si>
  <si>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</si>
  <si>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</si>
  <si>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</si>
  <si>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</si>
  <si>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</si>
  <si>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</si>
  <si>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</si>
  <si>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</si>
  <si>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</si>
  <si>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</si>
  <si>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</si>
  <si>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</si>
  <si>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</si>
  <si>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</si>
  <si>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</si>
  <si>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</si>
  <si>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</si>
  <si>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</si>
  <si>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</si>
  <si>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</si>
  <si>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</si>
  <si>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</si>
  <si>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</si>
  <si>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</si>
  <si>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</si>
  <si>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</si>
  <si>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</si>
  <si>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</si>
  <si>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</si>
  <si>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</si>
  <si>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</si>
  <si>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</si>
  <si>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</si>
  <si>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</si>
  <si>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</si>
  <si>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</si>
  <si>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</si>
  <si>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</si>
  <si>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</si>
  <si>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</si>
  <si>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</si>
  <si>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</si>
  <si>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</si>
  <si>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</si>
  <si>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</si>
  <si>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</si>
  <si>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</si>
  <si>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</si>
  <si>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</si>
  <si>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</si>
  <si>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</si>
  <si>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</si>
  <si>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</si>
  <si>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</si>
  <si>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</si>
  <si>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</si>
  <si>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</si>
  <si>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</si>
  <si>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</si>
  <si>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</si>
  <si>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</si>
  <si>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</si>
  <si>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</si>
  <si>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</si>
  <si>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</si>
  <si>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</si>
  <si>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</si>
  <si>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</si>
  <si>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</si>
  <si>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</si>
  <si>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</si>
  <si>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</si>
  <si>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</si>
  <si>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</si>
  <si>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</si>
  <si>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</si>
  <si>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</si>
  <si>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</si>
  <si>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</si>
  <si>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</si>
  <si>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</si>
  <si>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</si>
  <si>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</si>
  <si>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</si>
  <si>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</si>
  <si>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</si>
  <si>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</si>
  <si>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</si>
  <si>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</si>
  <si>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</si>
  <si>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</si>
  <si>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</si>
  <si>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</si>
  <si>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</si>
  <si>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</si>
  <si>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</si>
  <si>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</si>
  <si>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</si>
  <si>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</si>
  <si>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</si>
  <si>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</si>
  <si>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</si>
  <si>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</si>
  <si>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</si>
  <si>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</si>
  <si>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</si>
  <si>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</si>
  <si>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</si>
  <si>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</si>
  <si>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</si>
  <si>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</si>
  <si>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</si>
  <si>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</si>
  <si>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</si>
  <si>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</si>
  <si>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</si>
  <si>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</si>
  <si>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</si>
  <si>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</si>
  <si>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</si>
  <si>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</si>
  <si>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</si>
  <si>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</si>
  <si>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</si>
  <si>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</si>
  <si>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</si>
  <si>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</si>
  <si>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</si>
  <si>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</si>
  <si>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</si>
  <si>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</si>
  <si>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</si>
  <si>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</si>
  <si>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</si>
  <si>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</si>
  <si>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</si>
  <si>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</si>
  <si>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</si>
  <si>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</si>
  <si>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</si>
  <si>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</si>
  <si>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</si>
  <si>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</si>
  <si>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</si>
  <si>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</si>
  <si>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</si>
  <si>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</si>
  <si>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</si>
  <si>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</si>
  <si>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</si>
  <si>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</si>
  <si>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</si>
  <si>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</si>
  <si>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</si>
  <si>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</si>
  <si>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</si>
  <si>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</si>
  <si>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</si>
  <si>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</si>
  <si>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</si>
  <si>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</si>
  <si>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</si>
  <si>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</si>
  <si>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</si>
  <si>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</si>
  <si>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</si>
  <si>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</si>
  <si>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</si>
  <si>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</si>
  <si>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</si>
  <si>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</si>
  <si>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</si>
  <si>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</si>
  <si>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</si>
  <si>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</si>
  <si>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</si>
  <si>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</si>
  <si>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</si>
  <si>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</si>
  <si>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</si>
  <si>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</si>
  <si>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</si>
  <si>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</si>
  <si>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</si>
  <si>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</si>
  <si>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</si>
  <si>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</si>
  <si>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</si>
  <si>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</si>
  <si>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</si>
  <si>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</si>
  <si>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</si>
  <si>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</si>
  <si>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</si>
  <si>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</si>
  <si>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</si>
  <si>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</si>
  <si>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</si>
  <si>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</si>
  <si>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</si>
  <si>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</si>
  <si>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</si>
  <si>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</si>
  <si>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</si>
  <si>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</si>
  <si>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</si>
  <si>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</si>
  <si>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</si>
  <si>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</si>
  <si>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</si>
  <si>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</si>
  <si>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</si>
  <si>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</si>
  <si>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</si>
  <si>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</si>
  <si>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</si>
  <si>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</si>
  <si>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</si>
  <si>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</si>
  <si>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</si>
  <si>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</si>
  <si>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</si>
  <si>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</si>
  <si>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</si>
  <si>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</si>
  <si>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</si>
  <si>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</si>
  <si>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</si>
  <si>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</si>
  <si>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</si>
  <si>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</si>
  <si>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</si>
  <si>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</si>
  <si>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</si>
  <si>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</si>
  <si>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</si>
  <si>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</si>
  <si>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</si>
  <si>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</si>
  <si>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</si>
  <si>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</si>
  <si>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</si>
  <si>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</si>
  <si>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</si>
  <si>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</si>
  <si>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</si>
  <si>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</si>
  <si>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</si>
  <si>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</si>
  <si>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</si>
  <si>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</si>
  <si>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</si>
  <si>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</si>
  <si>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</si>
  <si>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</si>
  <si>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</si>
  <si>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</si>
  <si>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</si>
  <si>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</si>
  <si>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</si>
  <si>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</si>
  <si>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</si>
  <si>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</si>
  <si>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</si>
  <si>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</si>
  <si>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</si>
  <si>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</si>
  <si>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</si>
  <si>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</si>
  <si>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</si>
  <si>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</si>
  <si>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</si>
  <si>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</si>
  <si>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</si>
  <si>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</si>
  <si>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</si>
  <si>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</si>
  <si>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</si>
  <si>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</si>
  <si>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</si>
  <si>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</si>
  <si>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</si>
  <si>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</si>
  <si>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</si>
  <si>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</si>
  <si>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</si>
  <si>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</si>
  <si>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</si>
  <si>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</si>
  <si>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</si>
  <si>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</si>
  <si>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</si>
  <si>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</si>
  <si>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</si>
  <si>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</si>
  <si>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</si>
  <si>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</si>
  <si>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</si>
  <si>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</si>
  <si>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</si>
  <si>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</si>
  <si>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</si>
  <si>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</si>
  <si>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</si>
  <si>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</si>
  <si>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</si>
  <si>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</si>
  <si>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</si>
  <si>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</si>
  <si>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</si>
  <si>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</si>
  <si>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</si>
  <si>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</si>
  <si>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</si>
  <si>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</si>
  <si>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</si>
  <si>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</si>
  <si>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</si>
  <si>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</si>
  <si>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</si>
  <si>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</si>
  <si>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</si>
  <si>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</si>
  <si>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</si>
  <si>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</si>
  <si>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</si>
  <si>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</si>
  <si>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</si>
  <si>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</si>
  <si>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</si>
  <si>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</si>
  <si>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</si>
  <si>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</si>
  <si>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</si>
  <si>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</si>
  <si>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</si>
  <si>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</si>
  <si>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</si>
  <si>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</si>
  <si>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</si>
  <si>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</si>
  <si>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</si>
  <si>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</si>
  <si>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</si>
  <si>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</si>
  <si>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</si>
  <si>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</si>
  <si>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</si>
  <si>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</si>
  <si>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</si>
  <si>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</si>
  <si>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</si>
  <si>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</si>
  <si>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</si>
  <si>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</si>
  <si>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</si>
  <si>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</si>
  <si>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</si>
  <si>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</si>
  <si>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</si>
  <si>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</si>
  <si>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</si>
  <si>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</si>
  <si>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</si>
  <si>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</si>
  <si>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</si>
  <si>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</si>
  <si>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</si>
  <si>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</si>
  <si>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</si>
  <si>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</si>
  <si>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</si>
  <si>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</si>
  <si>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</si>
  <si>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</si>
  <si>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</si>
  <si>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</si>
  <si>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</si>
  <si>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</si>
  <si>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</si>
  <si>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</si>
  <si>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</si>
  <si>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</si>
  <si>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</si>
  <si>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</si>
  <si>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</si>
  <si>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</si>
  <si>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</si>
  <si>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</si>
  <si>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</si>
  <si>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</si>
  <si>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</si>
  <si>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</si>
  <si>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</si>
  <si>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</si>
  <si>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</si>
  <si>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</si>
  <si>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</si>
  <si>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</si>
  <si>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</si>
  <si>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</si>
  <si>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</si>
  <si>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</si>
  <si>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</si>
  <si>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</si>
  <si>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</si>
  <si>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</si>
  <si>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</si>
  <si>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</si>
  <si>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</si>
  <si>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</si>
  <si>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</si>
  <si>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</si>
  <si>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</si>
  <si>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</si>
  <si>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</si>
  <si>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</si>
  <si>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</si>
  <si>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</si>
  <si>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</si>
  <si>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</si>
  <si>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</si>
  <si>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</si>
  <si>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</si>
  <si>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</si>
  <si>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</si>
  <si>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</si>
  <si>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</si>
  <si>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</si>
  <si>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</si>
  <si>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</si>
  <si>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</si>
  <si>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</si>
  <si>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</si>
  <si>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</si>
  <si>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</si>
  <si>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</si>
  <si>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</si>
  <si>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</si>
  <si>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</si>
  <si>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</si>
  <si>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</si>
  <si>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</si>
  <si>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</si>
  <si>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</si>
  <si>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</si>
  <si>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</si>
  <si>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</si>
  <si>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</si>
  <si>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</si>
  <si>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</si>
  <si>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</si>
  <si>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</si>
  <si>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</si>
  <si>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</si>
  <si>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</si>
  <si>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</si>
  <si>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</si>
  <si>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</si>
  <si>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</si>
  <si>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</si>
  <si>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</si>
  <si>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</si>
  <si>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</si>
  <si>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</si>
  <si>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</si>
  <si>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</si>
  <si>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</si>
  <si>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</si>
  <si>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</si>
  <si>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</si>
  <si>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</si>
  <si>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</si>
  <si>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</si>
  <si>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</si>
  <si>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</si>
  <si>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</si>
  <si>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</si>
  <si>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</si>
  <si>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</si>
  <si>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</si>
  <si>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</si>
  <si>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</si>
  <si>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</si>
  <si>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</si>
  <si>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</si>
  <si>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</si>
  <si>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</si>
  <si>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</si>
  <si>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</si>
  <si>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</si>
  <si>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</si>
  <si>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</si>
  <si>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</si>
  <si>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</si>
  <si>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</si>
  <si>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</si>
  <si>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</si>
  <si>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</si>
  <si>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</si>
  <si>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</si>
  <si>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</si>
  <si>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</si>
  <si>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</si>
  <si>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</si>
  <si>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</si>
  <si>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</si>
  <si>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</si>
  <si>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</si>
  <si>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</si>
  <si>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</si>
  <si>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</si>
  <si>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</si>
  <si>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</si>
  <si>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</si>
  <si>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</si>
  <si>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</si>
  <si>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</si>
  <si>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</si>
  <si>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</si>
  <si>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</si>
  <si>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</si>
  <si>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</si>
  <si>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</si>
  <si>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</si>
  <si>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</si>
  <si>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</si>
  <si>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</si>
  <si>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</si>
  <si>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</si>
  <si>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</si>
  <si>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</si>
  <si>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</si>
  <si>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</si>
  <si>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</si>
  <si>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</si>
  <si>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</si>
  <si>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</si>
  <si>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</si>
  <si>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</si>
  <si>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</si>
  <si>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</si>
  <si>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</si>
  <si>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</si>
  <si>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</si>
  <si>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</si>
  <si>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</si>
  <si>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</si>
  <si>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</si>
  <si>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</si>
  <si>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</si>
  <si>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</si>
  <si>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</si>
  <si>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</si>
  <si>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</si>
  <si>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</si>
  <si>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</si>
  <si>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</si>
  <si>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</si>
  <si>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</si>
  <si>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</si>
  <si>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</si>
  <si>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</si>
  <si>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</si>
  <si>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</si>
  <si>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</si>
  <si>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</si>
  <si>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</si>
  <si>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</si>
  <si>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</si>
  <si>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</si>
  <si>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</si>
  <si>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</si>
  <si>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</si>
  <si>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</si>
  <si>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</si>
  <si>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</si>
  <si>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</si>
  <si>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</si>
  <si>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</si>
  <si>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</si>
  <si>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</si>
  <si>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</si>
  <si>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</si>
  <si>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</si>
  <si>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</si>
  <si>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</si>
  <si>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</si>
  <si>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</si>
  <si>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</si>
  <si>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</si>
  <si>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</si>
  <si>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</si>
  <si>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</si>
  <si>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</si>
  <si>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</si>
  <si>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</si>
  <si>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</si>
  <si>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</si>
  <si>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</si>
  <si>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</si>
  <si>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</si>
  <si>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Версия: 03.07.2017.012</t>
  </si>
  <si>
    <t>процентная ставка по кредиту</t>
  </si>
  <si>
    <t>ключевая ставка ЦБ РФ</t>
  </si>
  <si>
    <t>630098, г.Новосибирск, ул.Октябрьская, 34</t>
  </si>
  <si>
    <t>алюминий, спаренный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</si>
</sst>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6"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6" fontId="80" fillId="0" borderId="0" xfId="0" applyNumberFormat="1" applyFont="1" applyProtection="1">
      <protection hidden="1"/>
    </xf>
    <xf numFmtId="166"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20" fillId="0" borderId="4" xfId="0" applyNumberFormat="1" applyFont="1" applyBorder="1" applyAlignment="1" applyProtection="1">
      <alignment horizontal="center" vertical="center" wrapText="1"/>
      <protection locked="0"/>
    </xf>
    <xf numFmtId="165" fontId="120" fillId="0" borderId="4" xfId="0" applyNumberFormat="1" applyFont="1" applyBorder="1" applyAlignment="1" applyProtection="1">
      <alignment horizontal="center" vertical="center"/>
      <protection locked="0"/>
    </xf>
    <xf numFmtId="165" fontId="118" fillId="0" borderId="5" xfId="0" applyNumberFormat="1" applyFont="1" applyBorder="1" applyAlignment="1" applyProtection="1">
      <alignment horizontal="center" vertical="center"/>
      <protection locked="0"/>
    </xf>
    <xf numFmtId="165" fontId="118" fillId="0" borderId="4" xfId="0" applyNumberFormat="1" applyFont="1" applyBorder="1" applyAlignment="1" applyProtection="1">
      <alignment horizontal="center" vertical="center" wrapText="1"/>
      <protection locked="0"/>
    </xf>
    <xf numFmtId="0" fontId="123" fillId="20" borderId="0" xfId="0" applyFont="1" applyFill="1"/>
    <xf numFmtId="165"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5"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5" fontId="147" fillId="13" borderId="100" xfId="0" applyNumberFormat="1" applyFont="1" applyFill="1" applyBorder="1" applyAlignment="1" applyProtection="1">
      <alignment horizontal="right" vertical="center" wrapText="1"/>
      <protection locked="0"/>
    </xf>
    <xf numFmtId="165" fontId="147" fillId="13" borderId="104" xfId="0" applyNumberFormat="1" applyFont="1" applyFill="1" applyBorder="1" applyAlignment="1" applyProtection="1">
      <alignment horizontal="right" vertical="center" wrapText="1"/>
      <protection locked="0"/>
    </xf>
    <xf numFmtId="165"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69"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412"/>
          <c:y val="9.4835998260953871E-3"/>
        </c:manualLayout>
      </c:layout>
      <c:overlay val="0"/>
    </c:title>
    <c:autoTitleDeleted val="0"/>
    <c:plotArea>
      <c:layout>
        <c:manualLayout>
          <c:layoutTarget val="inner"/>
          <c:xMode val="edge"/>
          <c:yMode val="edge"/>
          <c:x val="0.47777753380381288"/>
          <c:y val="0.13340857209068577"/>
          <c:w val="0.49148631379248447"/>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7"/>
                <c:pt idx="6">
                  <c:v>Установка узлов управления</c:v>
                </c:pt>
              </c:strCache>
            </c:strRef>
          </c:cat>
          <c:val>
            <c:numRef>
              <c:f>'Экономический расчет'!$E$42:$E$64</c:f>
              <c:numCache>
                <c:formatCode>0%</c:formatCode>
                <c:ptCount val="23"/>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114219648"/>
        <c:axId val="99754368"/>
      </c:barChart>
      <c:catAx>
        <c:axId val="114219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99754368"/>
        <c:crosses val="autoZero"/>
        <c:auto val="1"/>
        <c:lblAlgn val="ctr"/>
        <c:lblOffset val="100"/>
        <c:noMultiLvlLbl val="0"/>
      </c:catAx>
      <c:valAx>
        <c:axId val="9975436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1421964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36"/>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47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16752</c:v>
                </c:pt>
                <c:pt idx="1">
                  <c:v>7.6727467260748805E-2</c:v>
                </c:pt>
                <c:pt idx="2" formatCode="0">
                  <c:v>176000</c:v>
                </c:pt>
                <c:pt idx="3">
                  <c:v>0.80611474677004469</c:v>
                </c:pt>
                <c:pt idx="4" formatCode="0">
                  <c:v>25579.200000000001</c:v>
                </c:pt>
                <c:pt idx="5">
                  <c:v>0.11715778596920641</c:v>
                </c:pt>
                <c:pt idx="6" formatCode="0.00">
                  <c:v>5834.4000000000005</c:v>
                </c:pt>
                <c:pt idx="7" formatCode="0.00">
                  <c:v>10108.799999999999</c:v>
                </c:pt>
                <c:pt idx="8" formatCode="0.00">
                  <c:v>9636</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955"/>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206"/>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267186.82242175261</c:v>
                </c:pt>
                <c:pt idx="1">
                  <c:v>198589.34960776393</c:v>
                </c:pt>
                <c:pt idx="2">
                  <c:v>296218.28054347436</c:v>
                </c:pt>
                <c:pt idx="3">
                  <c:v>181821.50829526046</c:v>
                </c:pt>
                <c:pt idx="4">
                  <c:v>177625.23815254556</c:v>
                </c:pt>
                <c:pt idx="5">
                  <c:v>159075.95613384221</c:v>
                </c:pt>
                <c:pt idx="6">
                  <c:v>172942.99794392486</c:v>
                </c:pt>
                <c:pt idx="7">
                  <c:v>85329.244849438401</c:v>
                </c:pt>
                <c:pt idx="8">
                  <c:v>51744.551255269485</c:v>
                </c:pt>
                <c:pt idx="9">
                  <c:v>22498.720861378577</c:v>
                </c:pt>
                <c:pt idx="10">
                  <c:v>0</c:v>
                </c:pt>
                <c:pt idx="11">
                  <c:v>0</c:v>
                </c:pt>
                <c:pt idx="12">
                  <c:v>0</c:v>
                </c:pt>
                <c:pt idx="13">
                  <c:v>0</c:v>
                </c:pt>
                <c:pt idx="14">
                  <c:v>0</c:v>
                </c:pt>
                <c:pt idx="15">
                  <c:v>0</c:v>
                </c:pt>
                <c:pt idx="16">
                  <c:v>0</c:v>
                </c:pt>
                <c:pt idx="17">
                  <c:v>0</c:v>
                </c:pt>
                <c:pt idx="18">
                  <c:v>136470.07468571299</c:v>
                </c:pt>
                <c:pt idx="19">
                  <c:v>119385.07830272833</c:v>
                </c:pt>
                <c:pt idx="20">
                  <c:v>244691.63794859164</c:v>
                </c:pt>
                <c:pt idx="21">
                  <c:v>183784.93798202695</c:v>
                </c:pt>
                <c:pt idx="22">
                  <c:v>255769.92878200629</c:v>
                </c:pt>
                <c:pt idx="23">
                  <c:v>186500.43874329698</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236399.58174139116</c:v>
                </c:pt>
                <c:pt idx="1">
                  <c:v>175278.33494550499</c:v>
                </c:pt>
                <c:pt idx="2">
                  <c:v>262085.82066257755</c:v>
                </c:pt>
                <c:pt idx="3">
                  <c:v>160156.79817226186</c:v>
                </c:pt>
                <c:pt idx="4">
                  <c:v>157157.94523614267</c:v>
                </c:pt>
                <c:pt idx="5">
                  <c:v>140630.29199116101</c:v>
                </c:pt>
                <c:pt idx="6">
                  <c:v>153015.22735470661</c:v>
                </c:pt>
                <c:pt idx="7">
                  <c:v>74950.225745639807</c:v>
                </c:pt>
                <c:pt idx="8">
                  <c:v>45782.161572448138</c:v>
                </c:pt>
                <c:pt idx="9">
                  <c:v>19723.743617273634</c:v>
                </c:pt>
                <c:pt idx="10">
                  <c:v>0</c:v>
                </c:pt>
                <c:pt idx="11">
                  <c:v>0</c:v>
                </c:pt>
                <c:pt idx="12">
                  <c:v>0</c:v>
                </c:pt>
                <c:pt idx="13">
                  <c:v>0</c:v>
                </c:pt>
                <c:pt idx="14">
                  <c:v>0</c:v>
                </c:pt>
                <c:pt idx="15">
                  <c:v>0</c:v>
                </c:pt>
                <c:pt idx="16">
                  <c:v>0</c:v>
                </c:pt>
                <c:pt idx="17">
                  <c:v>0</c:v>
                </c:pt>
                <c:pt idx="18">
                  <c:v>120744.98391613962</c:v>
                </c:pt>
                <c:pt idx="19">
                  <c:v>105522.02835241394</c:v>
                </c:pt>
                <c:pt idx="20">
                  <c:v>216496.45870392164</c:v>
                </c:pt>
                <c:pt idx="21">
                  <c:v>162227.79125207564</c:v>
                </c:pt>
                <c:pt idx="22">
                  <c:v>226298.2269786114</c:v>
                </c:pt>
                <c:pt idx="23">
                  <c:v>164578.20403313404</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58568.594623468183</c:v>
                </c:pt>
                <c:pt idx="1">
                  <c:v>43057.406151924923</c:v>
                </c:pt>
                <c:pt idx="2" formatCode="0">
                  <c:v>64589.697797210873</c:v>
                </c:pt>
                <c:pt idx="3">
                  <c:v>39448.437920777869</c:v>
                </c:pt>
                <c:pt idx="4" formatCode="0">
                  <c:v>37499.262334550462</c:v>
                </c:pt>
                <c:pt idx="5">
                  <c:v>33416.419416250385</c:v>
                </c:pt>
                <c:pt idx="6" formatCode="0">
                  <c:v>33018.850261659943</c:v>
                </c:pt>
                <c:pt idx="7">
                  <c:v>15469.821977360152</c:v>
                </c:pt>
                <c:pt idx="8" formatCode="0">
                  <c:v>237.44390253629868</c:v>
                </c:pt>
                <c:pt idx="9">
                  <c:v>237.44390253629868</c:v>
                </c:pt>
                <c:pt idx="10" formatCode="0">
                  <c:v>0</c:v>
                </c:pt>
                <c:pt idx="11">
                  <c:v>0</c:v>
                </c:pt>
                <c:pt idx="12" formatCode="0">
                  <c:v>0</c:v>
                </c:pt>
                <c:pt idx="13">
                  <c:v>0</c:v>
                </c:pt>
                <c:pt idx="14" formatCode="0">
                  <c:v>0</c:v>
                </c:pt>
                <c:pt idx="15">
                  <c:v>0</c:v>
                </c:pt>
                <c:pt idx="16" formatCode="0">
                  <c:v>0</c:v>
                </c:pt>
                <c:pt idx="17">
                  <c:v>0</c:v>
                </c:pt>
                <c:pt idx="18" formatCode="0">
                  <c:v>26170.991570668579</c:v>
                </c:pt>
                <c:pt idx="19">
                  <c:v>23871.414665168475</c:v>
                </c:pt>
                <c:pt idx="20" formatCode="0">
                  <c:v>51355.159401900462</c:v>
                </c:pt>
                <c:pt idx="21">
                  <c:v>39615.145600433301</c:v>
                </c:pt>
                <c:pt idx="22" formatCode="0">
                  <c:v>55530.070733058092</c:v>
                </c:pt>
                <c:pt idx="23">
                  <c:v>40094.830720935999</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53058.75321338811</c:v>
                </c:pt>
                <c:pt idx="1">
                  <c:v>42656.868000000002</c:v>
                </c:pt>
                <c:pt idx="2" formatCode="0">
                  <c:v>61460.271996737218</c:v>
                </c:pt>
                <c:pt idx="3">
                  <c:v>38528.784</c:v>
                </c:pt>
                <c:pt idx="4" formatCode="0">
                  <c:v>46327.319276761278</c:v>
                </c:pt>
                <c:pt idx="5">
                  <c:v>42656.868000000002</c:v>
                </c:pt>
                <c:pt idx="6" formatCode="0">
                  <c:v>71967.069439708619</c:v>
                </c:pt>
                <c:pt idx="7">
                  <c:v>41280.840000000004</c:v>
                </c:pt>
                <c:pt idx="8" formatCode="0">
                  <c:v>95700.221269746093</c:v>
                </c:pt>
                <c:pt idx="9">
                  <c:v>13760.28</c:v>
                </c:pt>
                <c:pt idx="10" formatCode="0">
                  <c:v>0</c:v>
                </c:pt>
                <c:pt idx="11">
                  <c:v>0</c:v>
                </c:pt>
                <c:pt idx="12" formatCode="0">
                  <c:v>0</c:v>
                </c:pt>
                <c:pt idx="13">
                  <c:v>0</c:v>
                </c:pt>
                <c:pt idx="14" formatCode="0">
                  <c:v>0</c:v>
                </c:pt>
                <c:pt idx="15">
                  <c:v>0</c:v>
                </c:pt>
                <c:pt idx="16" formatCode="0">
                  <c:v>0</c:v>
                </c:pt>
                <c:pt idx="17">
                  <c:v>0</c:v>
                </c:pt>
                <c:pt idx="18" formatCode="0">
                  <c:v>55899.738827478774</c:v>
                </c:pt>
                <c:pt idx="19">
                  <c:v>41280.840000000004</c:v>
                </c:pt>
                <c:pt idx="20" formatCode="0">
                  <c:v>66148.40894558627</c:v>
                </c:pt>
                <c:pt idx="21">
                  <c:v>41280.840000000004</c:v>
                </c:pt>
                <c:pt idx="22" formatCode="0">
                  <c:v>54913.765506324307</c:v>
                </c:pt>
                <c:pt idx="23">
                  <c:v>42656.868000000002</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122220544"/>
        <c:axId val="122222080"/>
      </c:barChart>
      <c:catAx>
        <c:axId val="122220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222080"/>
        <c:crosses val="autoZero"/>
        <c:auto val="1"/>
        <c:lblAlgn val="ctr"/>
        <c:lblOffset val="100"/>
        <c:noMultiLvlLbl val="0"/>
      </c:catAx>
      <c:valAx>
        <c:axId val="1222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76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220544"/>
        <c:crosses val="autoZero"/>
        <c:crossBetween val="between"/>
      </c:valAx>
      <c:spPr>
        <a:noFill/>
        <a:ln>
          <a:noFill/>
        </a:ln>
        <a:effectLst/>
      </c:spPr>
    </c:plotArea>
    <c:legend>
      <c:legendPos val="t"/>
      <c:layout>
        <c:manualLayout>
          <c:xMode val="edge"/>
          <c:yMode val="edge"/>
          <c:x val="0.32102799271816407"/>
          <c:y val="8.9312762984804547E-2"/>
          <c:w val="0.4258376019403131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171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529900.01600000006</c:v>
                </c:pt>
                <c:pt idx="1">
                  <c:v>374268.22270519391</c:v>
                </c:pt>
                <c:pt idx="2">
                  <c:v>607296.50300000003</c:v>
                </c:pt>
                <c:pt idx="3">
                  <c:v>342897.96038830013</c:v>
                </c:pt>
                <c:pt idx="4">
                  <c:v>333296.02900000004</c:v>
                </c:pt>
                <c:pt idx="5">
                  <c:v>290465.7995412536</c:v>
                </c:pt>
                <c:pt idx="6">
                  <c:v>348382.46500000003</c:v>
                </c:pt>
                <c:pt idx="7">
                  <c:v>134468.45257243834</c:v>
                </c:pt>
                <c:pt idx="8">
                  <c:v>165943.818</c:v>
                </c:pt>
                <c:pt idx="9">
                  <c:v>28699.628381188504</c:v>
                </c:pt>
                <c:pt idx="10">
                  <c:v>0</c:v>
                </c:pt>
                <c:pt idx="11">
                  <c:v>0</c:v>
                </c:pt>
                <c:pt idx="12">
                  <c:v>0</c:v>
                </c:pt>
                <c:pt idx="13">
                  <c:v>0</c:v>
                </c:pt>
                <c:pt idx="14">
                  <c:v>0</c:v>
                </c:pt>
                <c:pt idx="15">
                  <c:v>0</c:v>
                </c:pt>
                <c:pt idx="16">
                  <c:v>0</c:v>
                </c:pt>
                <c:pt idx="17">
                  <c:v>0</c:v>
                </c:pt>
                <c:pt idx="18">
                  <c:v>256724.109</c:v>
                </c:pt>
                <c:pt idx="19">
                  <c:v>207497.68132031074</c:v>
                </c:pt>
                <c:pt idx="20">
                  <c:v>496129.98500000004</c:v>
                </c:pt>
                <c:pt idx="21">
                  <c:v>344347.03483453591</c:v>
                </c:pt>
                <c:pt idx="22">
                  <c:v>507198.25600000005</c:v>
                </c:pt>
                <c:pt idx="23">
                  <c:v>348516.6054973671</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111711.96500000001</c:v>
                </c:pt>
                <c:pt idx="1">
                  <c:v>111711.96500000001</c:v>
                </c:pt>
                <c:pt idx="2">
                  <c:v>121002.00900000001</c:v>
                </c:pt>
                <c:pt idx="3">
                  <c:v>121002.00899999998</c:v>
                </c:pt>
                <c:pt idx="4">
                  <c:v>101598.51699999999</c:v>
                </c:pt>
                <c:pt idx="5">
                  <c:v>101598.51699999999</c:v>
                </c:pt>
                <c:pt idx="6">
                  <c:v>63674.25</c:v>
                </c:pt>
                <c:pt idx="7">
                  <c:v>63674.250000000007</c:v>
                </c:pt>
                <c:pt idx="8">
                  <c:v>50564.914000000004</c:v>
                </c:pt>
                <c:pt idx="9">
                  <c:v>50564.913999999997</c:v>
                </c:pt>
                <c:pt idx="10">
                  <c:v>46632.811000000002</c:v>
                </c:pt>
                <c:pt idx="11">
                  <c:v>46632.811000000002</c:v>
                </c:pt>
                <c:pt idx="12">
                  <c:v>59313</c:v>
                </c:pt>
                <c:pt idx="13">
                  <c:v>59313.000000000007</c:v>
                </c:pt>
                <c:pt idx="14">
                  <c:v>43031</c:v>
                </c:pt>
                <c:pt idx="15">
                  <c:v>43031</c:v>
                </c:pt>
                <c:pt idx="16">
                  <c:v>62802</c:v>
                </c:pt>
                <c:pt idx="17">
                  <c:v>62802</c:v>
                </c:pt>
                <c:pt idx="18">
                  <c:v>95945.173999999999</c:v>
                </c:pt>
                <c:pt idx="19">
                  <c:v>95945.173999999999</c:v>
                </c:pt>
                <c:pt idx="20">
                  <c:v>128388.22200000001</c:v>
                </c:pt>
                <c:pt idx="21">
                  <c:v>128388.22200000001</c:v>
                </c:pt>
                <c:pt idx="22">
                  <c:v>113363.42499999999</c:v>
                </c:pt>
                <c:pt idx="23">
                  <c:v>113363.42499999999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1400</c:v>
                </c:pt>
                <c:pt idx="1">
                  <c:v>2554.7730606698951</c:v>
                </c:pt>
                <c:pt idx="2">
                  <c:v>2250.0000000000005</c:v>
                </c:pt>
                <c:pt idx="3">
                  <c:v>2426.5801887505722</c:v>
                </c:pt>
                <c:pt idx="4">
                  <c:v>1310.0000000000002</c:v>
                </c:pt>
                <c:pt idx="5">
                  <c:v>2443.1277099731192</c:v>
                </c:pt>
                <c:pt idx="6">
                  <c:v>1300</c:v>
                </c:pt>
                <c:pt idx="7">
                  <c:v>2206.5010403787464</c:v>
                </c:pt>
                <c:pt idx="8">
                  <c:v>600.00000000000011</c:v>
                </c:pt>
                <c:pt idx="9">
                  <c:v>2094.3910639868122</c:v>
                </c:pt>
                <c:pt idx="10">
                  <c:v>700.00000000000011</c:v>
                </c:pt>
                <c:pt idx="11">
                  <c:v>2027.3561305026492</c:v>
                </c:pt>
                <c:pt idx="12">
                  <c:v>1300</c:v>
                </c:pt>
                <c:pt idx="13">
                  <c:v>1652.9561305026491</c:v>
                </c:pt>
                <c:pt idx="14">
                  <c:v>1500.0000000000002</c:v>
                </c:pt>
                <c:pt idx="15">
                  <c:v>2056.1561305026494</c:v>
                </c:pt>
                <c:pt idx="16">
                  <c:v>1200.0000000000002</c:v>
                </c:pt>
                <c:pt idx="17">
                  <c:v>2027.3561305026492</c:v>
                </c:pt>
                <c:pt idx="18">
                  <c:v>1000</c:v>
                </c:pt>
                <c:pt idx="19">
                  <c:v>2332.5938577799939</c:v>
                </c:pt>
                <c:pt idx="20">
                  <c:v>1300</c:v>
                </c:pt>
                <c:pt idx="21">
                  <c:v>2486.1107107883331</c:v>
                </c:pt>
                <c:pt idx="22">
                  <c:v>1200</c:v>
                </c:pt>
                <c:pt idx="23">
                  <c:v>2520.4656000305704</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134263552"/>
        <c:axId val="134265088"/>
      </c:barChart>
      <c:catAx>
        <c:axId val="1342635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4265088"/>
        <c:crosses val="autoZero"/>
        <c:auto val="1"/>
        <c:lblAlgn val="ctr"/>
        <c:lblOffset val="100"/>
        <c:noMultiLvlLbl val="0"/>
      </c:catAx>
      <c:valAx>
        <c:axId val="13426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4263552"/>
        <c:crosses val="autoZero"/>
        <c:crossBetween val="between"/>
      </c:valAx>
      <c:spPr>
        <a:noFill/>
        <a:ln>
          <a:noFill/>
        </a:ln>
        <a:effectLst/>
      </c:spPr>
    </c:plotArea>
    <c:legend>
      <c:legendPos val="r"/>
      <c:layout>
        <c:manualLayout>
          <c:xMode val="edge"/>
          <c:yMode val="edge"/>
          <c:x val="0.38660986921816093"/>
          <c:y val="0.12138574192349329"/>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144"/>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111711.96500000001</c:v>
                </c:pt>
                <c:pt idx="1">
                  <c:v>111711.96500000001</c:v>
                </c:pt>
                <c:pt idx="2">
                  <c:v>121002.00900000001</c:v>
                </c:pt>
                <c:pt idx="3">
                  <c:v>121002.00899999998</c:v>
                </c:pt>
                <c:pt idx="4">
                  <c:v>101598.51699999999</c:v>
                </c:pt>
                <c:pt idx="5">
                  <c:v>101598.51699999999</c:v>
                </c:pt>
                <c:pt idx="6">
                  <c:v>63674.25</c:v>
                </c:pt>
                <c:pt idx="7">
                  <c:v>63674.250000000007</c:v>
                </c:pt>
                <c:pt idx="8">
                  <c:v>50564.914000000004</c:v>
                </c:pt>
                <c:pt idx="9">
                  <c:v>50564.913999999997</c:v>
                </c:pt>
                <c:pt idx="10">
                  <c:v>46632.811000000002</c:v>
                </c:pt>
                <c:pt idx="11">
                  <c:v>46632.811000000002</c:v>
                </c:pt>
                <c:pt idx="12">
                  <c:v>59313</c:v>
                </c:pt>
                <c:pt idx="13">
                  <c:v>59313.000000000007</c:v>
                </c:pt>
                <c:pt idx="14">
                  <c:v>43031</c:v>
                </c:pt>
                <c:pt idx="15">
                  <c:v>43031</c:v>
                </c:pt>
                <c:pt idx="16">
                  <c:v>62802</c:v>
                </c:pt>
                <c:pt idx="17">
                  <c:v>62802</c:v>
                </c:pt>
                <c:pt idx="18">
                  <c:v>95945.173999999999</c:v>
                </c:pt>
                <c:pt idx="19">
                  <c:v>95945.173999999999</c:v>
                </c:pt>
                <c:pt idx="20">
                  <c:v>128388.22200000001</c:v>
                </c:pt>
                <c:pt idx="21">
                  <c:v>128388.22200000001</c:v>
                </c:pt>
                <c:pt idx="22">
                  <c:v>113363.42499999999</c:v>
                </c:pt>
                <c:pt idx="23">
                  <c:v>113363.42499999999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134314240"/>
        <c:axId val="134316032"/>
      </c:barChart>
      <c:catAx>
        <c:axId val="134314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4316032"/>
        <c:crosses val="autoZero"/>
        <c:auto val="1"/>
        <c:lblAlgn val="ctr"/>
        <c:lblOffset val="100"/>
        <c:noMultiLvlLbl val="0"/>
      </c:catAx>
      <c:valAx>
        <c:axId val="134316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431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872"/>
          <c:h val="0.38491635375719441"/>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985</c:v>
                </c:pt>
                <c:pt idx="1">
                  <c:v>562</c:v>
                </c:pt>
                <c:pt idx="2" formatCode="General">
                  <c:v>562</c:v>
                </c:pt>
                <c:pt idx="3">
                  <c:v>720</c:v>
                </c:pt>
                <c:pt idx="4" formatCode="General">
                  <c:v>720</c:v>
                </c:pt>
                <c:pt idx="5">
                  <c:v>795</c:v>
                </c:pt>
                <c:pt idx="6" formatCode="General">
                  <c:v>795</c:v>
                </c:pt>
                <c:pt idx="7">
                  <c:v>652</c:v>
                </c:pt>
                <c:pt idx="8" formatCode="General">
                  <c:v>652</c:v>
                </c:pt>
                <c:pt idx="9">
                  <c:v>659</c:v>
                </c:pt>
                <c:pt idx="10" formatCode="General">
                  <c:v>659</c:v>
                </c:pt>
                <c:pt idx="11">
                  <c:v>589</c:v>
                </c:pt>
                <c:pt idx="12" formatCode="General">
                  <c:v>589</c:v>
                </c:pt>
                <c:pt idx="13">
                  <c:v>352</c:v>
                </c:pt>
                <c:pt idx="14" formatCode="General">
                  <c:v>352</c:v>
                </c:pt>
                <c:pt idx="15">
                  <c:v>490</c:v>
                </c:pt>
                <c:pt idx="16" formatCode="General">
                  <c:v>490</c:v>
                </c:pt>
                <c:pt idx="17">
                  <c:v>663</c:v>
                </c:pt>
                <c:pt idx="18" formatCode="General">
                  <c:v>663</c:v>
                </c:pt>
                <c:pt idx="19">
                  <c:v>450</c:v>
                </c:pt>
                <c:pt idx="20" formatCode="General">
                  <c:v>450</c:v>
                </c:pt>
                <c:pt idx="21">
                  <c:v>452</c:v>
                </c:pt>
                <c:pt idx="22" formatCode="General">
                  <c:v>452</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134340992"/>
        <c:axId val="134342528"/>
      </c:barChart>
      <c:catAx>
        <c:axId val="134340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4342528"/>
        <c:crosses val="autoZero"/>
        <c:auto val="1"/>
        <c:lblAlgn val="ctr"/>
        <c:lblOffset val="100"/>
        <c:noMultiLvlLbl val="0"/>
      </c:catAx>
      <c:valAx>
        <c:axId val="134342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4340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85"/>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77"/>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86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2077013.9482820332</c:v>
                </c:pt>
                <c:pt idx="1">
                  <c:v>17424.647315526068</c:v>
                </c:pt>
                <c:pt idx="2">
                  <c:v>998027.28700000001</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85"/>
          <c:w val="0.35146259842519689"/>
          <c:h val="0.644098862642176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85"/>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3244871.1810000003</c:v>
                </c:pt>
                <c:pt idx="1">
                  <c:v>15060</c:v>
                </c:pt>
                <c:pt idx="2">
                  <c:v>998027.28700000001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85"/>
          <c:w val="0.35146259842519689"/>
          <c:h val="0.644098862642176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39"/>
          <c:y val="0.15498349361806874"/>
          <c:w val="0.43216873566480041"/>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1137199.6596898215</c:v>
                </c:pt>
                <c:pt idx="1">
                  <c:v>1004967.9692677301</c:v>
                </c:pt>
                <c:pt idx="2">
                  <c:v>238948.50732448153</c:v>
                </c:pt>
                <c:pt idx="3" formatCode="0.0">
                  <c:v>304102.18800000002</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105.11897419715723</c:v>
                </c:pt>
                <c:pt idx="1">
                  <c:v>96.292971412239766</c:v>
                </c:pt>
                <c:pt idx="2">
                  <c:v>171.19529671671293</c:v>
                </c:pt>
                <c:pt idx="3">
                  <c:v>96.292971412239766</c:v>
                </c:pt>
                <c:pt idx="4">
                  <c:v>98.361325855911417</c:v>
                </c:pt>
                <c:pt idx="5">
                  <c:v>96.292971412239766</c:v>
                </c:pt>
                <c:pt idx="6">
                  <c:v>98.040769286177351</c:v>
                </c:pt>
                <c:pt idx="7">
                  <c:v>96.292971412239766</c:v>
                </c:pt>
                <c:pt idx="8">
                  <c:v>46.812474384291519</c:v>
                </c:pt>
                <c:pt idx="9">
                  <c:v>96.292971412239766</c:v>
                </c:pt>
                <c:pt idx="10">
                  <c:v>55.150876664910832</c:v>
                </c:pt>
                <c:pt idx="11">
                  <c:v>96.292971412239766</c:v>
                </c:pt>
                <c:pt idx="12">
                  <c:v>104.47497697267424</c:v>
                </c:pt>
                <c:pt idx="13">
                  <c:v>96.292971412239766</c:v>
                </c:pt>
                <c:pt idx="14">
                  <c:v>117.81341895216947</c:v>
                </c:pt>
                <c:pt idx="15">
                  <c:v>96.292971412239766</c:v>
                </c:pt>
                <c:pt idx="16">
                  <c:v>93.914681457008101</c:v>
                </c:pt>
                <c:pt idx="17">
                  <c:v>96.292971412239766</c:v>
                </c:pt>
                <c:pt idx="18">
                  <c:v>75.084981569398025</c:v>
                </c:pt>
                <c:pt idx="19">
                  <c:v>96.292971412239766</c:v>
                </c:pt>
                <c:pt idx="20">
                  <c:v>98.040769286177351</c:v>
                </c:pt>
                <c:pt idx="21">
                  <c:v>96.292971412239766</c:v>
                </c:pt>
                <c:pt idx="22">
                  <c:v>90.101977883277613</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1104.4018301516041</c:v>
                </c:pt>
                <c:pt idx="1">
                  <c:v>1011.6740071964063</c:v>
                </c:pt>
                <c:pt idx="2">
                  <c:v>1798.6134325538133</c:v>
                </c:pt>
                <c:pt idx="3">
                  <c:v>1011.6740071964063</c:v>
                </c:pt>
                <c:pt idx="4">
                  <c:v>1033.4045696418584</c:v>
                </c:pt>
                <c:pt idx="5" formatCode="General">
                  <c:v>1011.6740071964063</c:v>
                </c:pt>
                <c:pt idx="6">
                  <c:v>1030.0367355758842</c:v>
                </c:pt>
                <c:pt idx="7" formatCode="General">
                  <c:v>1011.6740071964063</c:v>
                </c:pt>
                <c:pt idx="8">
                  <c:v>491.82160289131491</c:v>
                </c:pt>
                <c:pt idx="9" formatCode="General">
                  <c:v>1011.6740071964063</c:v>
                </c:pt>
                <c:pt idx="10">
                  <c:v>579.42659342313198</c:v>
                </c:pt>
                <c:pt idx="11" formatCode="General">
                  <c:v>1011.6740071964063</c:v>
                </c:pt>
                <c:pt idx="12">
                  <c:v>1097.6358612219835</c:v>
                </c:pt>
                <c:pt idx="13" formatCode="General">
                  <c:v>1011.6740071964063</c:v>
                </c:pt>
                <c:pt idx="14">
                  <c:v>1237.77230990818</c:v>
                </c:pt>
                <c:pt idx="15" formatCode="General">
                  <c:v>1011.6740071964063</c:v>
                </c:pt>
                <c:pt idx="16">
                  <c:v>986.68719773360942</c:v>
                </c:pt>
                <c:pt idx="17" formatCode="General">
                  <c:v>1011.6740071964063</c:v>
                </c:pt>
                <c:pt idx="18">
                  <c:v>788.85845010828871</c:v>
                </c:pt>
                <c:pt idx="19" formatCode="General">
                  <c:v>1011.6740071964063</c:v>
                </c:pt>
                <c:pt idx="20">
                  <c:v>1030.0367355758842</c:v>
                </c:pt>
                <c:pt idx="21" formatCode="General">
                  <c:v>1011.6740071964063</c:v>
                </c:pt>
                <c:pt idx="22">
                  <c:v>946.63014012994643</c:v>
                </c:pt>
                <c:pt idx="23" formatCode="General">
                  <c:v>1011.6740071964063</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190.47919565123848</c:v>
                </c:pt>
                <c:pt idx="1">
                  <c:v>1446.8060820612493</c:v>
                </c:pt>
                <c:pt idx="2">
                  <c:v>280.19127072947407</c:v>
                </c:pt>
                <c:pt idx="3">
                  <c:v>1318.6132101419264</c:v>
                </c:pt>
                <c:pt idx="4">
                  <c:v>178.23410450223034</c:v>
                </c:pt>
                <c:pt idx="5">
                  <c:v>1335.1607313644731</c:v>
                </c:pt>
                <c:pt idx="6">
                  <c:v>171.92249513793854</c:v>
                </c:pt>
                <c:pt idx="7">
                  <c:v>1098.5340617701006</c:v>
                </c:pt>
                <c:pt idx="8">
                  <c:v>61.365922724393627</c:v>
                </c:pt>
                <c:pt idx="9">
                  <c:v>986.42408537816618</c:v>
                </c:pt>
                <c:pt idx="10">
                  <c:v>65.42252991195727</c:v>
                </c:pt>
                <c:pt idx="11">
                  <c:v>919.38915189400325</c:v>
                </c:pt>
                <c:pt idx="12">
                  <c:v>97.889161805342354</c:v>
                </c:pt>
                <c:pt idx="13">
                  <c:v>544.98915189400316</c:v>
                </c:pt>
                <c:pt idx="14">
                  <c:v>144.41427113965074</c:v>
                </c:pt>
                <c:pt idx="15">
                  <c:v>948.1891518940032</c:v>
                </c:pt>
                <c:pt idx="16">
                  <c:v>119.3981208093825</c:v>
                </c:pt>
                <c:pt idx="17">
                  <c:v>919.38915189400325</c:v>
                </c:pt>
                <c:pt idx="18">
                  <c:v>136.05656832231321</c:v>
                </c:pt>
                <c:pt idx="19">
                  <c:v>1224.6268791713478</c:v>
                </c:pt>
                <c:pt idx="20">
                  <c:v>171.92249513793854</c:v>
                </c:pt>
                <c:pt idx="21">
                  <c:v>1378.143732179687</c:v>
                </c:pt>
                <c:pt idx="22">
                  <c:v>163.26788198677588</c:v>
                </c:pt>
                <c:pt idx="23">
                  <c:v>1412.4986214219241</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134603520"/>
        <c:axId val="134605056"/>
      </c:barChart>
      <c:catAx>
        <c:axId val="134603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4605056"/>
        <c:crosses val="autoZero"/>
        <c:auto val="1"/>
        <c:lblAlgn val="ctr"/>
        <c:lblOffset val="100"/>
        <c:noMultiLvlLbl val="0"/>
      </c:catAx>
      <c:valAx>
        <c:axId val="13460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4603520"/>
        <c:crosses val="autoZero"/>
        <c:crossBetween val="between"/>
      </c:valAx>
      <c:spPr>
        <a:noFill/>
        <a:ln>
          <a:noFill/>
        </a:ln>
        <a:effectLst/>
      </c:spPr>
    </c:plotArea>
    <c:legend>
      <c:legendPos val="t"/>
      <c:layout>
        <c:manualLayout>
          <c:xMode val="edge"/>
          <c:yMode val="edge"/>
          <c:x val="0.27250911260948585"/>
          <c:y val="6.5911857167845769E-2"/>
          <c:w val="0.45272279924422365"/>
          <c:h val="0.10129071422055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36"/>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47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1155.5156569468772</c:v>
                </c:pt>
                <c:pt idx="1">
                  <c:v>0</c:v>
                </c:pt>
                <c:pt idx="2" formatCode="0">
                  <c:v>12140.088086356875</c:v>
                </c:pt>
                <c:pt idx="3">
                  <c:v>0</c:v>
                </c:pt>
                <c:pt idx="4" formatCode="0">
                  <c:v>4129.0435722223174</c:v>
                </c:pt>
                <c:pt idx="5">
                  <c:v>1.3402019566476309</c:v>
                </c:pt>
                <c:pt idx="6" formatCode="0.0">
                  <c:v>2767.0912355887995</c:v>
                </c:pt>
                <c:pt idx="7" formatCode="0.0">
                  <c:v>697.2825139054795</c:v>
                </c:pt>
                <c:pt idx="8" formatCode="0.0">
                  <c:v>664.66982272803887</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955"/>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206"/>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214806.27276609829</c:v>
                </c:pt>
                <c:pt idx="1">
                  <c:v>267186.82242175261</c:v>
                </c:pt>
                <c:pt idx="2">
                  <c:v>286587.74972029624</c:v>
                </c:pt>
                <c:pt idx="3" formatCode="0">
                  <c:v>185696.05660900447</c:v>
                </c:pt>
                <c:pt idx="4">
                  <c:v>296218.28054347436</c:v>
                </c:pt>
                <c:pt idx="5">
                  <c:v>303016.49792232621</c:v>
                </c:pt>
                <c:pt idx="6" formatCode="0">
                  <c:v>163552.22913021958</c:v>
                </c:pt>
                <c:pt idx="7">
                  <c:v>177625.23815254556</c:v>
                </c:pt>
                <c:pt idx="8">
                  <c:v>181724.50662603677</c:v>
                </c:pt>
                <c:pt idx="9" formatCode="0">
                  <c:v>99201.374779120044</c:v>
                </c:pt>
                <c:pt idx="10">
                  <c:v>172942.99794392486</c:v>
                </c:pt>
                <c:pt idx="11">
                  <c:v>196857.86914970394</c:v>
                </c:pt>
                <c:pt idx="12" formatCode="0">
                  <c:v>7440.1031084340011</c:v>
                </c:pt>
                <c:pt idx="13">
                  <c:v>51744.551255269485</c:v>
                </c:pt>
                <c:pt idx="14">
                  <c:v>22173.830262734064</c:v>
                </c:pt>
                <c:pt idx="15" formatCode="0">
                  <c:v>0</c:v>
                </c:pt>
                <c:pt idx="16">
                  <c:v>0</c:v>
                </c:pt>
                <c:pt idx="17">
                  <c:v>0</c:v>
                </c:pt>
                <c:pt idx="18" formatCode="0">
                  <c:v>0</c:v>
                </c:pt>
                <c:pt idx="19">
                  <c:v>0</c:v>
                </c:pt>
                <c:pt idx="20">
                  <c:v>0</c:v>
                </c:pt>
                <c:pt idx="21" formatCode="0">
                  <c:v>0</c:v>
                </c:pt>
                <c:pt idx="22">
                  <c:v>0</c:v>
                </c:pt>
                <c:pt idx="23">
                  <c:v>0</c:v>
                </c:pt>
                <c:pt idx="24" formatCode="0">
                  <c:v>8192.473085691372</c:v>
                </c:pt>
                <c:pt idx="25">
                  <c:v>0</c:v>
                </c:pt>
                <c:pt idx="26">
                  <c:v>0</c:v>
                </c:pt>
                <c:pt idx="27" formatCode="0">
                  <c:v>100780.42287953672</c:v>
                </c:pt>
                <c:pt idx="28">
                  <c:v>136470.07468571299</c:v>
                </c:pt>
                <c:pt idx="29">
                  <c:v>120466.15115564394</c:v>
                </c:pt>
                <c:pt idx="30" formatCode="0">
                  <c:v>152703.23982853303</c:v>
                </c:pt>
                <c:pt idx="31">
                  <c:v>244691.63794859164</c:v>
                </c:pt>
                <c:pt idx="32">
                  <c:v>209621.76697321841</c:v>
                </c:pt>
                <c:pt idx="33" formatCode="0">
                  <c:v>198681.40510537237</c:v>
                </c:pt>
                <c:pt idx="34">
                  <c:v>255769.92878200629</c:v>
                </c:pt>
                <c:pt idx="35">
                  <c:v>270682.4216176435</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190054.70620544584</c:v>
                </c:pt>
                <c:pt idx="1">
                  <c:v>236399.58174139116</c:v>
                </c:pt>
                <c:pt idx="2">
                  <c:v>253564.99078814159</c:v>
                </c:pt>
                <c:pt idx="3" formatCode="0">
                  <c:v>164298.78433188936</c:v>
                </c:pt>
                <c:pt idx="4">
                  <c:v>262085.82066257755</c:v>
                </c:pt>
                <c:pt idx="5">
                  <c:v>268100.69718373637</c:v>
                </c:pt>
                <c:pt idx="6" formatCode="0">
                  <c:v>144706.53233873087</c:v>
                </c:pt>
                <c:pt idx="7">
                  <c:v>157157.94523614267</c:v>
                </c:pt>
                <c:pt idx="8">
                  <c:v>160784.86569500173</c:v>
                </c:pt>
                <c:pt idx="9" formatCode="0">
                  <c:v>87770.659096867661</c:v>
                </c:pt>
                <c:pt idx="10">
                  <c:v>153015.22735470661</c:v>
                </c:pt>
                <c:pt idx="11">
                  <c:v>174174.4503253719</c:v>
                </c:pt>
                <c:pt idx="12" formatCode="0">
                  <c:v>6582.7994322650757</c:v>
                </c:pt>
                <c:pt idx="13">
                  <c:v>45782.161572448138</c:v>
                </c:pt>
                <c:pt idx="14">
                  <c:v>19618.797634565439</c:v>
                </c:pt>
                <c:pt idx="15" formatCode="0">
                  <c:v>0</c:v>
                </c:pt>
                <c:pt idx="16">
                  <c:v>0</c:v>
                </c:pt>
                <c:pt idx="17">
                  <c:v>0</c:v>
                </c:pt>
                <c:pt idx="18" formatCode="0">
                  <c:v>0</c:v>
                </c:pt>
                <c:pt idx="19">
                  <c:v>0</c:v>
                </c:pt>
                <c:pt idx="20">
                  <c:v>0</c:v>
                </c:pt>
                <c:pt idx="21" formatCode="0">
                  <c:v>0</c:v>
                </c:pt>
                <c:pt idx="22">
                  <c:v>0</c:v>
                </c:pt>
                <c:pt idx="23">
                  <c:v>0</c:v>
                </c:pt>
                <c:pt idx="24" formatCode="0">
                  <c:v>7248.4757793480603</c:v>
                </c:pt>
                <c:pt idx="25">
                  <c:v>0</c:v>
                </c:pt>
                <c:pt idx="26">
                  <c:v>0</c:v>
                </c:pt>
                <c:pt idx="27" formatCode="0">
                  <c:v>89167.757603091217</c:v>
                </c:pt>
                <c:pt idx="28">
                  <c:v>120744.98391613962</c:v>
                </c:pt>
                <c:pt idx="29">
                  <c:v>106585.15075356849</c:v>
                </c:pt>
                <c:pt idx="30" formatCode="0">
                  <c:v>135107.64377832439</c:v>
                </c:pt>
                <c:pt idx="31">
                  <c:v>216496.45870392164</c:v>
                </c:pt>
                <c:pt idx="32">
                  <c:v>185467.59749303345</c:v>
                </c:pt>
                <c:pt idx="33" formatCode="0">
                  <c:v>175787.86498895125</c:v>
                </c:pt>
                <c:pt idx="34">
                  <c:v>226298.2269786114</c:v>
                </c:pt>
                <c:pt idx="35">
                  <c:v>239492.39215903883</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47086.534426300699</c:v>
                </c:pt>
                <c:pt idx="1">
                  <c:v>58568.594623468183</c:v>
                </c:pt>
                <c:pt idx="2">
                  <c:v>62821.368154619966</c:v>
                </c:pt>
                <c:pt idx="3">
                  <c:v>40490.587402316174</c:v>
                </c:pt>
                <c:pt idx="4">
                  <c:v>64589.697797210873</c:v>
                </c:pt>
                <c:pt idx="5">
                  <c:v>66072.033071233047</c:v>
                </c:pt>
                <c:pt idx="6">
                  <c:v>34528.246150963525</c:v>
                </c:pt>
                <c:pt idx="7">
                  <c:v>37499.262334550462</c:v>
                </c:pt>
                <c:pt idx="8">
                  <c:v>38364.677325494398</c:v>
                </c:pt>
                <c:pt idx="9">
                  <c:v>18939.855203878386</c:v>
                </c:pt>
                <c:pt idx="10">
                  <c:v>33018.850261659943</c:v>
                </c:pt>
                <c:pt idx="11">
                  <c:v>37584.75672077277</c:v>
                </c:pt>
                <c:pt idx="12" formatCode="General">
                  <c:v>34.140930290879865</c:v>
                </c:pt>
                <c:pt idx="13">
                  <c:v>237.44390253629868</c:v>
                </c:pt>
                <c:pt idx="14">
                  <c:v>101.75063198030698</c:v>
                </c:pt>
                <c:pt idx="15" formatCode="General">
                  <c:v>0</c:v>
                </c:pt>
                <c:pt idx="16">
                  <c:v>0</c:v>
                </c:pt>
                <c:pt idx="17">
                  <c:v>0</c:v>
                </c:pt>
                <c:pt idx="18" formatCode="General">
                  <c:v>0</c:v>
                </c:pt>
                <c:pt idx="19">
                  <c:v>0</c:v>
                </c:pt>
                <c:pt idx="20">
                  <c:v>0</c:v>
                </c:pt>
                <c:pt idx="21" formatCode="General">
                  <c:v>0</c:v>
                </c:pt>
                <c:pt idx="22">
                  <c:v>0</c:v>
                </c:pt>
                <c:pt idx="23">
                  <c:v>0</c:v>
                </c:pt>
                <c:pt idx="24" formatCode="General">
                  <c:v>2007.3233524551244</c:v>
                </c:pt>
                <c:pt idx="25">
                  <c:v>0</c:v>
                </c:pt>
                <c:pt idx="26">
                  <c:v>0</c:v>
                </c:pt>
                <c:pt idx="27">
                  <c:v>19326.754262741615</c:v>
                </c:pt>
                <c:pt idx="28">
                  <c:v>26170.991570668579</c:v>
                </c:pt>
                <c:pt idx="29">
                  <c:v>23101.904455653537</c:v>
                </c:pt>
                <c:pt idx="30">
                  <c:v>32048.905668891435</c:v>
                </c:pt>
                <c:pt idx="31">
                  <c:v>51355.159401900462</c:v>
                </c:pt>
                <c:pt idx="32">
                  <c:v>43994.798299071284</c:v>
                </c:pt>
                <c:pt idx="33" formatCode="0.00">
                  <c:v>43135.612272262035</c:v>
                </c:pt>
                <c:pt idx="34">
                  <c:v>55530.070733058092</c:v>
                </c:pt>
                <c:pt idx="35">
                  <c:v>58767.713977174346</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42656.868000000002</c:v>
                </c:pt>
                <c:pt idx="1">
                  <c:v>53058.75321338811</c:v>
                </c:pt>
                <c:pt idx="2">
                  <c:v>56911.447011360782</c:v>
                </c:pt>
                <c:pt idx="3">
                  <c:v>38528.784</c:v>
                </c:pt>
                <c:pt idx="4">
                  <c:v>61460.271996737218</c:v>
                </c:pt>
                <c:pt idx="5">
                  <c:v>62870.786865808092</c:v>
                </c:pt>
                <c:pt idx="6">
                  <c:v>42656.868000000002</c:v>
                </c:pt>
                <c:pt idx="7">
                  <c:v>46327.319276761278</c:v>
                </c:pt>
                <c:pt idx="8">
                  <c:v>47396.469817235127</c:v>
                </c:pt>
                <c:pt idx="9">
                  <c:v>41280.840000000004</c:v>
                </c:pt>
                <c:pt idx="10">
                  <c:v>71967.069439708619</c:v>
                </c:pt>
                <c:pt idx="11">
                  <c:v>81918.806238361984</c:v>
                </c:pt>
                <c:pt idx="12">
                  <c:v>13760.28</c:v>
                </c:pt>
                <c:pt idx="13">
                  <c:v>95700.221269746093</c:v>
                </c:pt>
                <c:pt idx="14">
                  <c:v>41009.930728220213</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41280.840000000004</c:v>
                </c:pt>
                <c:pt idx="28">
                  <c:v>55899.738827478774</c:v>
                </c:pt>
                <c:pt idx="29">
                  <c:v>49344.344558031218</c:v>
                </c:pt>
                <c:pt idx="30" formatCode="0">
                  <c:v>41280.840000000004</c:v>
                </c:pt>
                <c:pt idx="31">
                  <c:v>66148.40894558627</c:v>
                </c:pt>
                <c:pt idx="32">
                  <c:v>56667.839088780158</c:v>
                </c:pt>
                <c:pt idx="33">
                  <c:v>42656.868000000002</c:v>
                </c:pt>
                <c:pt idx="34">
                  <c:v>54913.765506324307</c:v>
                </c:pt>
                <c:pt idx="35">
                  <c:v>58115.475490725476</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14062848"/>
        <c:axId val="114064384"/>
      </c:barChart>
      <c:catAx>
        <c:axId val="114062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064384"/>
        <c:crosses val="autoZero"/>
        <c:auto val="1"/>
        <c:lblAlgn val="ctr"/>
        <c:lblOffset val="100"/>
        <c:noMultiLvlLbl val="0"/>
      </c:catAx>
      <c:valAx>
        <c:axId val="11406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76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4062848"/>
        <c:crosses val="autoZero"/>
        <c:crossBetween val="between"/>
      </c:valAx>
      <c:spPr>
        <a:noFill/>
        <a:ln>
          <a:noFill/>
        </a:ln>
        <a:effectLst/>
      </c:spPr>
    </c:plotArea>
    <c:legend>
      <c:legendPos val="t"/>
      <c:layout>
        <c:manualLayout>
          <c:xMode val="edge"/>
          <c:yMode val="edge"/>
          <c:x val="0.32102799271816407"/>
          <c:y val="8.9312762984804547E-2"/>
          <c:w val="0.4258376019403131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143868288"/>
        <c:axId val="143869824"/>
      </c:scatterChart>
      <c:valAx>
        <c:axId val="143868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3869824"/>
        <c:crosses val="autoZero"/>
        <c:crossBetween val="midCat"/>
      </c:valAx>
      <c:valAx>
        <c:axId val="1438698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3868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11" l="0.70000000000000062" r="0.70000000000000062" t="0.750000000000002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143907456"/>
        <c:axId val="143909248"/>
      </c:scatterChart>
      <c:valAx>
        <c:axId val="143907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3909248"/>
        <c:crosses val="autoZero"/>
        <c:crossBetween val="midCat"/>
      </c:valAx>
      <c:valAx>
        <c:axId val="143909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3907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214"/>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409290.64539784484</c:v>
                </c:pt>
                <c:pt idx="1">
                  <c:v>529900.01600000006</c:v>
                </c:pt>
                <c:pt idx="2">
                  <c:v>574571.81967441866</c:v>
                </c:pt>
                <c:pt idx="3">
                  <c:v>351956.64434321004</c:v>
                </c:pt>
                <c:pt idx="4">
                  <c:v>607296.50300000003</c:v>
                </c:pt>
                <c:pt idx="5">
                  <c:v>623002.44704310375</c:v>
                </c:pt>
                <c:pt idx="6">
                  <c:v>300130.139619914</c:v>
                </c:pt>
                <c:pt idx="7">
                  <c:v>333296.02900000004</c:v>
                </c:pt>
                <c:pt idx="8">
                  <c:v>342956.78346376814</c:v>
                </c:pt>
                <c:pt idx="9">
                  <c:v>164631.04907986609</c:v>
                </c:pt>
                <c:pt idx="10">
                  <c:v>348382.46500000003</c:v>
                </c:pt>
                <c:pt idx="11">
                  <c:v>407974.20243421057</c:v>
                </c:pt>
                <c:pt idx="12">
                  <c:v>296.76347098995393</c:v>
                </c:pt>
                <c:pt idx="13">
                  <c:v>165943.818</c:v>
                </c:pt>
                <c:pt idx="14">
                  <c:v>55383.749257500014</c:v>
                </c:pt>
                <c:pt idx="15">
                  <c:v>0</c:v>
                </c:pt>
                <c:pt idx="16">
                  <c:v>0</c:v>
                </c:pt>
                <c:pt idx="17">
                  <c:v>0</c:v>
                </c:pt>
                <c:pt idx="18">
                  <c:v>0</c:v>
                </c:pt>
                <c:pt idx="19">
                  <c:v>0</c:v>
                </c:pt>
                <c:pt idx="20">
                  <c:v>0</c:v>
                </c:pt>
                <c:pt idx="21">
                  <c:v>0</c:v>
                </c:pt>
                <c:pt idx="22">
                  <c:v>0</c:v>
                </c:pt>
                <c:pt idx="23">
                  <c:v>0</c:v>
                </c:pt>
                <c:pt idx="24">
                  <c:v>17448.272217494556</c:v>
                </c:pt>
                <c:pt idx="25">
                  <c:v>0</c:v>
                </c:pt>
                <c:pt idx="26">
                  <c:v>0</c:v>
                </c:pt>
                <c:pt idx="27">
                  <c:v>167994.09474536957</c:v>
                </c:pt>
                <c:pt idx="28">
                  <c:v>256724.109</c:v>
                </c:pt>
                <c:pt idx="29">
                  <c:v>216935.87092289719</c:v>
                </c:pt>
                <c:pt idx="30">
                  <c:v>278578.94927574886</c:v>
                </c:pt>
                <c:pt idx="31">
                  <c:v>496129.98500000004</c:v>
                </c:pt>
                <c:pt idx="32">
                  <c:v>413190.32185410336</c:v>
                </c:pt>
                <c:pt idx="33">
                  <c:v>374948.01436658564</c:v>
                </c:pt>
                <c:pt idx="34">
                  <c:v>507198.25600000005</c:v>
                </c:pt>
                <c:pt idx="35">
                  <c:v>541744.26724458218</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51873.18230769231</c:v>
                </c:pt>
                <c:pt idx="1">
                  <c:v>111711.96500000001</c:v>
                </c:pt>
                <c:pt idx="2">
                  <c:v>111711.96500000001</c:v>
                </c:pt>
                <c:pt idx="3">
                  <c:v>46853.196923076925</c:v>
                </c:pt>
                <c:pt idx="4">
                  <c:v>121002.00900000001</c:v>
                </c:pt>
                <c:pt idx="5">
                  <c:v>121002.00900000001</c:v>
                </c:pt>
                <c:pt idx="6">
                  <c:v>51873.18230769231</c:v>
                </c:pt>
                <c:pt idx="7">
                  <c:v>101598.51699999999</c:v>
                </c:pt>
                <c:pt idx="8">
                  <c:v>101598.51699999999</c:v>
                </c:pt>
                <c:pt idx="9">
                  <c:v>50199.853846153848</c:v>
                </c:pt>
                <c:pt idx="10">
                  <c:v>63674.25</c:v>
                </c:pt>
                <c:pt idx="11">
                  <c:v>63674.25</c:v>
                </c:pt>
                <c:pt idx="12">
                  <c:v>38197.525153846153</c:v>
                </c:pt>
                <c:pt idx="13">
                  <c:v>50564.914000000004</c:v>
                </c:pt>
                <c:pt idx="14">
                  <c:v>50564.914000000004</c:v>
                </c:pt>
                <c:pt idx="15">
                  <c:v>36965.346923076919</c:v>
                </c:pt>
                <c:pt idx="16">
                  <c:v>46632.811000000002</c:v>
                </c:pt>
                <c:pt idx="17">
                  <c:v>46632.811000000002</c:v>
                </c:pt>
                <c:pt idx="18">
                  <c:v>20947.029923076923</c:v>
                </c:pt>
                <c:pt idx="19">
                  <c:v>59313</c:v>
                </c:pt>
                <c:pt idx="20">
                  <c:v>59313</c:v>
                </c:pt>
                <c:pt idx="21">
                  <c:v>38197.525153846153</c:v>
                </c:pt>
                <c:pt idx="22">
                  <c:v>43031</c:v>
                </c:pt>
                <c:pt idx="23">
                  <c:v>43031</c:v>
                </c:pt>
                <c:pt idx="24">
                  <c:v>45179.868461538455</c:v>
                </c:pt>
                <c:pt idx="25">
                  <c:v>62802</c:v>
                </c:pt>
                <c:pt idx="26">
                  <c:v>62802</c:v>
                </c:pt>
                <c:pt idx="27">
                  <c:v>51873.18230769231</c:v>
                </c:pt>
                <c:pt idx="28">
                  <c:v>95945.173999999999</c:v>
                </c:pt>
                <c:pt idx="29">
                  <c:v>95945.173999999999</c:v>
                </c:pt>
                <c:pt idx="30">
                  <c:v>50199.853846153848</c:v>
                </c:pt>
                <c:pt idx="31">
                  <c:v>128388.22200000001</c:v>
                </c:pt>
                <c:pt idx="32">
                  <c:v>128388.22200000001</c:v>
                </c:pt>
                <c:pt idx="33">
                  <c:v>51873.18230769231</c:v>
                </c:pt>
                <c:pt idx="34">
                  <c:v>113363.42499999999</c:v>
                </c:pt>
                <c:pt idx="35">
                  <c:v>113363.42499999999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18592.266666666666</c:v>
                </c:pt>
                <c:pt idx="1">
                  <c:v>1400</c:v>
                </c:pt>
                <c:pt idx="2">
                  <c:v>1400</c:v>
                </c:pt>
                <c:pt idx="3" formatCode="0">
                  <c:v>18347.466666666667</c:v>
                </c:pt>
                <c:pt idx="4">
                  <c:v>2250.0000000000005</c:v>
                </c:pt>
                <c:pt idx="5">
                  <c:v>2250.0000000000005</c:v>
                </c:pt>
                <c:pt idx="6" formatCode="0">
                  <c:v>18592.266666666666</c:v>
                </c:pt>
                <c:pt idx="7">
                  <c:v>1310.0000000000002</c:v>
                </c:pt>
                <c:pt idx="8">
                  <c:v>1310.0000000000002</c:v>
                </c:pt>
                <c:pt idx="9" formatCode="0">
                  <c:v>18510.666666666664</c:v>
                </c:pt>
                <c:pt idx="10">
                  <c:v>1300</c:v>
                </c:pt>
                <c:pt idx="11">
                  <c:v>1300</c:v>
                </c:pt>
                <c:pt idx="12" formatCode="0">
                  <c:v>17892.666666666664</c:v>
                </c:pt>
                <c:pt idx="13">
                  <c:v>600.00000000000011</c:v>
                </c:pt>
                <c:pt idx="14">
                  <c:v>600.00000000000011</c:v>
                </c:pt>
                <c:pt idx="15" formatCode="0">
                  <c:v>17718.666666666664</c:v>
                </c:pt>
                <c:pt idx="16">
                  <c:v>700.00000000000011</c:v>
                </c:pt>
                <c:pt idx="17">
                  <c:v>700.00000000000011</c:v>
                </c:pt>
                <c:pt idx="18" formatCode="0">
                  <c:v>17370.666666666664</c:v>
                </c:pt>
                <c:pt idx="19">
                  <c:v>1300</c:v>
                </c:pt>
                <c:pt idx="20">
                  <c:v>1300</c:v>
                </c:pt>
                <c:pt idx="21" formatCode="0">
                  <c:v>17773.866666666665</c:v>
                </c:pt>
                <c:pt idx="22">
                  <c:v>1500.0000000000002</c:v>
                </c:pt>
                <c:pt idx="23">
                  <c:v>1500.0000000000002</c:v>
                </c:pt>
                <c:pt idx="24" formatCode="0">
                  <c:v>17837.466666666667</c:v>
                </c:pt>
                <c:pt idx="25">
                  <c:v>1200.0000000000002</c:v>
                </c:pt>
                <c:pt idx="26">
                  <c:v>1200.0000000000002</c:v>
                </c:pt>
                <c:pt idx="27" formatCode="0">
                  <c:v>18592.266666666666</c:v>
                </c:pt>
                <c:pt idx="28">
                  <c:v>1000</c:v>
                </c:pt>
                <c:pt idx="29">
                  <c:v>1000</c:v>
                </c:pt>
                <c:pt idx="30" formatCode="0">
                  <c:v>18510.666666666664</c:v>
                </c:pt>
                <c:pt idx="31">
                  <c:v>1300</c:v>
                </c:pt>
                <c:pt idx="32">
                  <c:v>1300</c:v>
                </c:pt>
                <c:pt idx="33" formatCode="0">
                  <c:v>18592.266666666666</c:v>
                </c:pt>
                <c:pt idx="34">
                  <c:v>1200</c:v>
                </c:pt>
                <c:pt idx="35">
                  <c:v>1200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22235136"/>
        <c:axId val="122245120"/>
      </c:barChart>
      <c:catAx>
        <c:axId val="122235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245120"/>
        <c:crosses val="autoZero"/>
        <c:auto val="1"/>
        <c:lblAlgn val="ctr"/>
        <c:lblOffset val="100"/>
        <c:noMultiLvlLbl val="0"/>
      </c:catAx>
      <c:valAx>
        <c:axId val="12224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235136"/>
        <c:crosses val="autoZero"/>
        <c:crossBetween val="between"/>
      </c:valAx>
      <c:spPr>
        <a:noFill/>
        <a:ln>
          <a:noFill/>
        </a:ln>
        <a:effectLst/>
      </c:spPr>
    </c:plotArea>
    <c:legend>
      <c:legendPos val="r"/>
      <c:layout>
        <c:manualLayout>
          <c:xMode val="edge"/>
          <c:yMode val="edge"/>
          <c:x val="0.387210413883869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144"/>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51873.18230769231</c:v>
                </c:pt>
                <c:pt idx="1">
                  <c:v>111711.96500000001</c:v>
                </c:pt>
                <c:pt idx="2">
                  <c:v>46853.196923076925</c:v>
                </c:pt>
                <c:pt idx="3">
                  <c:v>121002.00900000001</c:v>
                </c:pt>
                <c:pt idx="4">
                  <c:v>51873.18230769231</c:v>
                </c:pt>
                <c:pt idx="5">
                  <c:v>101598.51699999999</c:v>
                </c:pt>
                <c:pt idx="6">
                  <c:v>50199.853846153848</c:v>
                </c:pt>
                <c:pt idx="7">
                  <c:v>63674.25</c:v>
                </c:pt>
                <c:pt idx="8">
                  <c:v>38197.525153846153</c:v>
                </c:pt>
                <c:pt idx="9">
                  <c:v>50564.914000000004</c:v>
                </c:pt>
                <c:pt idx="10">
                  <c:v>36965.346923076919</c:v>
                </c:pt>
                <c:pt idx="11">
                  <c:v>46632.811000000002</c:v>
                </c:pt>
                <c:pt idx="12">
                  <c:v>20947.029923076923</c:v>
                </c:pt>
                <c:pt idx="13">
                  <c:v>59313</c:v>
                </c:pt>
                <c:pt idx="14">
                  <c:v>38197.525153846153</c:v>
                </c:pt>
                <c:pt idx="15">
                  <c:v>43031</c:v>
                </c:pt>
                <c:pt idx="16">
                  <c:v>45179.868461538455</c:v>
                </c:pt>
                <c:pt idx="17">
                  <c:v>62802</c:v>
                </c:pt>
                <c:pt idx="18">
                  <c:v>51873.18230769231</c:v>
                </c:pt>
                <c:pt idx="19">
                  <c:v>95945.173999999999</c:v>
                </c:pt>
                <c:pt idx="20">
                  <c:v>50199.853846153848</c:v>
                </c:pt>
                <c:pt idx="21">
                  <c:v>128388.22200000001</c:v>
                </c:pt>
                <c:pt idx="22">
                  <c:v>51873.18230769231</c:v>
                </c:pt>
                <c:pt idx="23">
                  <c:v>113363.42499999999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22276096"/>
        <c:axId val="122281984"/>
      </c:barChart>
      <c:catAx>
        <c:axId val="122276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281984"/>
        <c:crosses val="autoZero"/>
        <c:auto val="1"/>
        <c:lblAlgn val="ctr"/>
        <c:lblOffset val="100"/>
        <c:noMultiLvlLbl val="0"/>
      </c:catAx>
      <c:valAx>
        <c:axId val="12228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27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872"/>
          <c:h val="0.38491635375719441"/>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621.85633136094668</c:v>
                </c:pt>
                <c:pt idx="1">
                  <c:v>985</c:v>
                </c:pt>
                <c:pt idx="2">
                  <c:v>561.6766863905325</c:v>
                </c:pt>
                <c:pt idx="3">
                  <c:v>562</c:v>
                </c:pt>
                <c:pt idx="4">
                  <c:v>621.85633136094668</c:v>
                </c:pt>
                <c:pt idx="5">
                  <c:v>720</c:v>
                </c:pt>
                <c:pt idx="6">
                  <c:v>601.79644970414199</c:v>
                </c:pt>
                <c:pt idx="7">
                  <c:v>795</c:v>
                </c:pt>
                <c:pt idx="8">
                  <c:v>559.67069822485212</c:v>
                </c:pt>
                <c:pt idx="9">
                  <c:v>652</c:v>
                </c:pt>
                <c:pt idx="10">
                  <c:v>541.61680473372769</c:v>
                </c:pt>
                <c:pt idx="11">
                  <c:v>659</c:v>
                </c:pt>
                <c:pt idx="12">
                  <c:v>306.91618934911241</c:v>
                </c:pt>
                <c:pt idx="13">
                  <c:v>589</c:v>
                </c:pt>
                <c:pt idx="14">
                  <c:v>559.67069822485212</c:v>
                </c:pt>
                <c:pt idx="15">
                  <c:v>352</c:v>
                </c:pt>
                <c:pt idx="16">
                  <c:v>541.61680473372769</c:v>
                </c:pt>
                <c:pt idx="17">
                  <c:v>490</c:v>
                </c:pt>
                <c:pt idx="18">
                  <c:v>621.85633136094668</c:v>
                </c:pt>
                <c:pt idx="19">
                  <c:v>663</c:v>
                </c:pt>
                <c:pt idx="20">
                  <c:v>601.79644970414199</c:v>
                </c:pt>
                <c:pt idx="21">
                  <c:v>450</c:v>
                </c:pt>
                <c:pt idx="22">
                  <c:v>621.85633136094668</c:v>
                </c:pt>
                <c:pt idx="23">
                  <c:v>452</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22428416"/>
        <c:axId val="122454784"/>
      </c:barChart>
      <c:catAx>
        <c:axId val="122428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454784"/>
        <c:crosses val="autoZero"/>
        <c:auto val="1"/>
        <c:lblAlgn val="ctr"/>
        <c:lblOffset val="100"/>
        <c:noMultiLvlLbl val="0"/>
      </c:catAx>
      <c:valAx>
        <c:axId val="12245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42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85"/>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77"/>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2113405.6907768468</c:v>
                </c:pt>
                <c:pt idx="1">
                  <c:v>677176.75529517012</c:v>
                </c:pt>
                <c:pt idx="2">
                  <c:v>218331.2</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381"/>
          <c:w val="0.43867187958983911"/>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85"/>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3244871.1810000003</c:v>
                </c:pt>
                <c:pt idx="1">
                  <c:v>998027.28700000001</c:v>
                </c:pt>
                <c:pt idx="2">
                  <c:v>15060</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357"/>
          <c:w val="0.42866141421171766"/>
          <c:h val="0.466104729387596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39"/>
          <c:y val="0.15498349361806874"/>
          <c:w val="0.43216873566480041"/>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1153652.5421644442</c:v>
                </c:pt>
                <c:pt idx="1">
                  <c:v>1020720.168646925</c:v>
                </c:pt>
                <c:pt idx="2">
                  <c:v>243135.16796547777</c:v>
                </c:pt>
                <c:pt idx="3" formatCode="0.0">
                  <c:v>304102.18800000002</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178"/>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1396</c:v>
                </c:pt>
                <c:pt idx="1">
                  <c:v>105.11897419715723</c:v>
                </c:pt>
                <c:pt idx="2" formatCode="0">
                  <c:v>1396</c:v>
                </c:pt>
                <c:pt idx="3">
                  <c:v>171.19529671671293</c:v>
                </c:pt>
                <c:pt idx="4" formatCode="0">
                  <c:v>1396</c:v>
                </c:pt>
                <c:pt idx="5">
                  <c:v>98.361325855911417</c:v>
                </c:pt>
                <c:pt idx="6" formatCode="0">
                  <c:v>1396</c:v>
                </c:pt>
                <c:pt idx="7">
                  <c:v>98.040769286177351</c:v>
                </c:pt>
                <c:pt idx="8" formatCode="0">
                  <c:v>1396</c:v>
                </c:pt>
                <c:pt idx="9">
                  <c:v>46.812474384291519</c:v>
                </c:pt>
                <c:pt idx="10" formatCode="0">
                  <c:v>1396</c:v>
                </c:pt>
                <c:pt idx="11">
                  <c:v>55.150876664910832</c:v>
                </c:pt>
                <c:pt idx="12" formatCode="0">
                  <c:v>1396</c:v>
                </c:pt>
                <c:pt idx="13">
                  <c:v>104.47497697267424</c:v>
                </c:pt>
                <c:pt idx="14" formatCode="0">
                  <c:v>1396</c:v>
                </c:pt>
                <c:pt idx="15">
                  <c:v>117.81341895216947</c:v>
                </c:pt>
                <c:pt idx="16" formatCode="0">
                  <c:v>1396</c:v>
                </c:pt>
                <c:pt idx="17">
                  <c:v>93.914681457008101</c:v>
                </c:pt>
                <c:pt idx="18" formatCode="0">
                  <c:v>1396</c:v>
                </c:pt>
                <c:pt idx="19">
                  <c:v>75.084981569398025</c:v>
                </c:pt>
                <c:pt idx="20" formatCode="0">
                  <c:v>1396</c:v>
                </c:pt>
                <c:pt idx="21">
                  <c:v>98.040769286177351</c:v>
                </c:pt>
                <c:pt idx="22" formatCode="0">
                  <c:v>1396</c:v>
                </c:pt>
                <c:pt idx="23">
                  <c:v>90.101977883277613</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14666.666666666666</c:v>
                </c:pt>
                <c:pt idx="1">
                  <c:v>1104.4018301516041</c:v>
                </c:pt>
                <c:pt idx="2">
                  <c:v>14666.666666666666</c:v>
                </c:pt>
                <c:pt idx="3">
                  <c:v>1798.6134325538133</c:v>
                </c:pt>
                <c:pt idx="4">
                  <c:v>14666.666666666666</c:v>
                </c:pt>
                <c:pt idx="5">
                  <c:v>1033.4045696418584</c:v>
                </c:pt>
                <c:pt idx="6">
                  <c:v>14666.666666666666</c:v>
                </c:pt>
                <c:pt idx="7">
                  <c:v>1030.0367355758842</c:v>
                </c:pt>
                <c:pt idx="8">
                  <c:v>14666.666666666666</c:v>
                </c:pt>
                <c:pt idx="9">
                  <c:v>491.82160289131491</c:v>
                </c:pt>
                <c:pt idx="10">
                  <c:v>14666.666666666666</c:v>
                </c:pt>
                <c:pt idx="11">
                  <c:v>579.42659342313198</c:v>
                </c:pt>
                <c:pt idx="12">
                  <c:v>14666.666666666666</c:v>
                </c:pt>
                <c:pt idx="13">
                  <c:v>1097.6358612219835</c:v>
                </c:pt>
                <c:pt idx="14">
                  <c:v>14666.666666666666</c:v>
                </c:pt>
                <c:pt idx="15">
                  <c:v>1237.77230990818</c:v>
                </c:pt>
                <c:pt idx="16">
                  <c:v>14666.666666666666</c:v>
                </c:pt>
                <c:pt idx="17">
                  <c:v>986.68719773360942</c:v>
                </c:pt>
                <c:pt idx="18">
                  <c:v>14666.666666666666</c:v>
                </c:pt>
                <c:pt idx="19">
                  <c:v>788.85845010828871</c:v>
                </c:pt>
                <c:pt idx="20">
                  <c:v>14666.666666666666</c:v>
                </c:pt>
                <c:pt idx="21">
                  <c:v>1030.0367355758842</c:v>
                </c:pt>
                <c:pt idx="22">
                  <c:v>14666.666666666666</c:v>
                </c:pt>
                <c:pt idx="23">
                  <c:v>946.63014012994643</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2529.6000000000004</c:v>
                </c:pt>
                <c:pt idx="1">
                  <c:v>190.47919565123848</c:v>
                </c:pt>
                <c:pt idx="2" formatCode="0">
                  <c:v>2284.8000000000002</c:v>
                </c:pt>
                <c:pt idx="3">
                  <c:v>280.19127072947407</c:v>
                </c:pt>
                <c:pt idx="4" formatCode="0">
                  <c:v>2529.6000000000004</c:v>
                </c:pt>
                <c:pt idx="5">
                  <c:v>178.23410450223034</c:v>
                </c:pt>
                <c:pt idx="6" formatCode="0">
                  <c:v>2448</c:v>
                </c:pt>
                <c:pt idx="7">
                  <c:v>171.92249513793854</c:v>
                </c:pt>
                <c:pt idx="8" formatCode="0">
                  <c:v>1830</c:v>
                </c:pt>
                <c:pt idx="9">
                  <c:v>61.365922724393627</c:v>
                </c:pt>
                <c:pt idx="10" formatCode="0">
                  <c:v>1656</c:v>
                </c:pt>
                <c:pt idx="11">
                  <c:v>65.42252991195727</c:v>
                </c:pt>
                <c:pt idx="12" formatCode="0">
                  <c:v>1308</c:v>
                </c:pt>
                <c:pt idx="13">
                  <c:v>97.889161805342354</c:v>
                </c:pt>
                <c:pt idx="14" formatCode="0">
                  <c:v>1711.2</c:v>
                </c:pt>
                <c:pt idx="15">
                  <c:v>144.41427113965074</c:v>
                </c:pt>
                <c:pt idx="16" formatCode="0">
                  <c:v>1774.8</c:v>
                </c:pt>
                <c:pt idx="17">
                  <c:v>119.3981208093825</c:v>
                </c:pt>
                <c:pt idx="18" formatCode="0">
                  <c:v>2529.6000000000004</c:v>
                </c:pt>
                <c:pt idx="19">
                  <c:v>136.05656832231321</c:v>
                </c:pt>
                <c:pt idx="20" formatCode="0">
                  <c:v>2448</c:v>
                </c:pt>
                <c:pt idx="21">
                  <c:v>171.92249513793854</c:v>
                </c:pt>
                <c:pt idx="22" formatCode="0.0">
                  <c:v>2529.6000000000004</c:v>
                </c:pt>
                <c:pt idx="23">
                  <c:v>163.26788198677588</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122674176"/>
        <c:axId val="122675968"/>
      </c:barChart>
      <c:catAx>
        <c:axId val="122674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675968"/>
        <c:crosses val="autoZero"/>
        <c:auto val="1"/>
        <c:lblAlgn val="ctr"/>
        <c:lblOffset val="100"/>
        <c:noMultiLvlLbl val="0"/>
      </c:catAx>
      <c:valAx>
        <c:axId val="12267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674176"/>
        <c:crosses val="autoZero"/>
        <c:crossBetween val="between"/>
      </c:valAx>
      <c:spPr>
        <a:noFill/>
        <a:ln>
          <a:noFill/>
        </a:ln>
        <a:effectLst/>
      </c:spPr>
    </c:plotArea>
    <c:legend>
      <c:legendPos val="t"/>
      <c:layout>
        <c:manualLayout>
          <c:xMode val="edge"/>
          <c:yMode val="edge"/>
          <c:x val="0.27250911260948585"/>
          <c:y val="6.5911857167845769E-2"/>
          <c:w val="0.45272279924422365"/>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checked="Checked"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checked="Checked" fmlaLink="списки!$C$35" lockText="1" noThreeD="1"/>
</file>

<file path=xl/ctrlProps/ctrlProp29.xml><?xml version="1.0" encoding="utf-8"?>
<formControlPr xmlns="http://schemas.microsoft.com/office/spreadsheetml/2009/9/main" objectType="CheckBox" checked="Checked"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checked="Checked"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checked="Checked"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190500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40625"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19" t="s">
        <v>1654</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6.25" x14ac:dyDescent="0.4">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1944</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x14ac:dyDescent="0.25"/>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07" t="s">
        <v>463</v>
      </c>
      <c r="C2" s="1008" t="str">
        <f>VLOOKUP(CONCATENATE('Ввод исходных данных'!$D$10,'Ввод исходных данных'!$D$11),Климатология!$D$9:$BF$548,$J$7,0)</f>
        <v>6000-7000</v>
      </c>
      <c r="D2" s="1009"/>
      <c r="E2" s="75">
        <f>VLOOKUP(CONCATENATE('Ввод исходных данных'!$D$10,'Ввод исходных данных'!$D$11),Климатология!$D$9:$BF$548,E7,0)</f>
        <v>221</v>
      </c>
      <c r="F2" s="75">
        <f>VLOOKUP(CONCATENATE('Ввод исходных данных'!$D$10,'Ввод исходных данных'!$D$11),Климатология!$D$9:$BF$548,F7,0)</f>
        <v>-8.1</v>
      </c>
      <c r="G2" s="75">
        <f>VLOOKUP(CONCATENATE('Ввод исходных данных'!$D$10,'Ввод исходных данных'!$D$11),Климатология!$D$9:$BF$548,G7,0)</f>
        <v>-37</v>
      </c>
      <c r="H2" s="75">
        <f>VLOOKUP(CONCATENATE('Ввод исходных данных'!$D$10,'Ввод исходных данных'!$D$11),Климатология!$D$9:$BF$548,H7,0)</f>
        <v>4.7</v>
      </c>
      <c r="I2" s="75">
        <f>VLOOKUP(CONCATENATE('Ввод исходных данных'!$D$10,'Ввод исходных данных'!$D$11),Климатология!$D$9:$BF$548,I7,0)</f>
        <v>6210.1</v>
      </c>
      <c r="J2" s="75" t="str">
        <f>VLOOKUP(CONCATENATE('Ввод исходных данных'!$D$10,'Ввод исходных данных'!$D$11),Климатология!$D$9:$BF$548,J7,0)</f>
        <v>6000-7000</v>
      </c>
      <c r="K2" s="75">
        <f>VLOOKUP(CONCATENATE('Ввод исходных данных'!$D$10,'Ввод исходных данных'!$D$11),Климатология!$D$9:$BF$548,K7,0)</f>
        <v>19.399999999999999</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16.2</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10.199999999999999</v>
      </c>
      <c r="U2" s="75">
        <f>VLOOKUP(CONCATENATE('Ввод исходных данных'!$D$10,'Ввод исходных данных'!$D$11),Климатология!$D$9:$BF$548,U7,0)</f>
        <v>4.5</v>
      </c>
      <c r="V2" s="75">
        <f>VLOOKUP(CONCATENATE('Ввод исходных данных'!$D$10,'Ввод исходных данных'!$D$11),Климатология!$D$9:$BF$548,V7,0)</f>
        <v>44.1</v>
      </c>
      <c r="W2" s="75">
        <f>VLOOKUP(CONCATENATE('Ввод исходных данных'!$D$10,'Ввод исходных данных'!$D$11),Климатология!$D$9:$BF$548,W7,0)</f>
        <v>2.5</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542.5</v>
      </c>
      <c r="AA2" s="75">
        <f>VLOOKUP(CONCATENATE('Ввод исходных данных'!$D$10,'Ввод исходных данных'!$D$11),Климатология!$D$9:$BF$548,AA7,0)</f>
        <v>-7.4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822</v>
      </c>
      <c r="AE2" s="75">
        <f>VLOOKUP(CONCATENATE('Ввод исходных данных'!$D$10,'Ввод исходных данных'!$D$11),Климатология!$D$9:$BF$548,AE7,0)</f>
        <v>-14.5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1069.5</v>
      </c>
      <c r="AI2" s="75">
        <f>VLOOKUP(CONCATENATE('Ввод исходных данных'!$D$10,'Ввод исходных данных'!$D$11),Климатология!$D$9:$BF$548,AI7,0)</f>
        <v>-17.3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1156.3</v>
      </c>
      <c r="AM2" s="75">
        <f>VLOOKUP(CONCATENATE('Ввод исходных данных'!$D$10,'Ввод исходных данных'!$D$11),Климатология!$D$9:$BF$548,AM7,0)</f>
        <v>-15.7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999.60000000000014</v>
      </c>
      <c r="AQ2" s="75">
        <f>VLOOKUP(CONCATENATE('Ввод исходных данных'!$D$10,'Ввод исходных данных'!$D$11),Климатология!$D$9:$BF$548,AQ7,0)</f>
        <v>-8.4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880.4</v>
      </c>
      <c r="AU2" s="75">
        <f>VLOOKUP(CONCATENATE('Ввод исходных данных'!$D$10,'Ввод исходных данных'!$D$11),Климатология!$D$9:$BF$548,AU7,0)</f>
        <v>2.2000000000000002</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534</v>
      </c>
      <c r="AY2" s="75">
        <f>VLOOKUP(CONCATENATE('Ввод исходных данных'!$D$10,'Ввод исходных данных'!$D$11),Климатология!$D$9:$BF$548,AY7,0)</f>
        <v>11.1</v>
      </c>
      <c r="BA2" s="75">
        <f>VLOOKUP(CONCATENATE('Ввод исходных данных'!$D$10,'Ввод исходных данных'!$D$11),Климатология!$D$9:$BF$548,BA7,0)</f>
        <v>4.5</v>
      </c>
      <c r="BB2" s="75">
        <f>VLOOKUP(CONCATENATE('Ввод исходных данных'!$D$10,'Ввод исходных данных'!$D$11),Климатология!$D$9:$BF$548,BB7,0)</f>
        <v>40.050000000000004</v>
      </c>
      <c r="BC2" s="75">
        <f>VLOOKUP(CONCATENATE('Ввод исходных данных'!$D$10,'Ввод исходных данных'!$D$11),Климатология!$D$9:$BF$548,BC7,0)</f>
        <v>17</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Новосибирская областьНовосибирск</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25">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25">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25">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25">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25">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25">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25">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25">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25">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25">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25">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25">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25">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25">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25">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25">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25">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25">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25">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25">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25">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25">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25">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25">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25">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25">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25">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25">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25">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25">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25">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25">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25">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25">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25">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25">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25">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25">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25">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25">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25">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25">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25">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25">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25">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25">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25">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25">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25">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25">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25">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25">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25">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25">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25">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25">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25">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25">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25">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25">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25">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25">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25">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25">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25">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25">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25">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25">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25">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25">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25">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25">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25">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25">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25">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25">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25">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25">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25">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25">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25">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25">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25">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25">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25">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25">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25">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25">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25">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25">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25">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25">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25">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25">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25">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25">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25">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25">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25">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25">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25">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25">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25">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25">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25">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25">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25">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25">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25">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25">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25">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25">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25">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25">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25">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25">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25">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25">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25">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25">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25">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25">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25">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25">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25">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25">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25">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25">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25">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25">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25">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25">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25">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25">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25">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25">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25">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25">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25">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25">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25">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25">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25">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25">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25">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25">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25">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25">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25">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25">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25">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25">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25">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25">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25">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25">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25">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25">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25">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25">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25">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25">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25">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25">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25">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25">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25">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25">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25">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25">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25">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25">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25">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25">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25">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25">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25">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25">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25">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25">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25">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25">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25">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25">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25">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25">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25">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25">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25">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25">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25">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25">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25">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25">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25">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25">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25">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25">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25">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25">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25">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25">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25">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25">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25">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25">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25">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25">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25">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25">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25">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25">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25">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25">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25">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25">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25">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25">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25">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25">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25">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25">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25">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25">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25">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25">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25">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25">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25">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25">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25">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25">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25">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25">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25">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25">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25">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25">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25">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25">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25">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25">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25">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25">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25">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25">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25">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25">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25">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25">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25">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25">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25">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25">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25">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25">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25">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25">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25">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25">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25">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25">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25">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25">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25">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25">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25">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25">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25">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25">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25">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25">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25">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25">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25">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25">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25">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25">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25">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25">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25">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25">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25">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25">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25">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25">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25">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25">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25">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25">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25">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25">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25">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25">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25">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25">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25">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25">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25">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25">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25">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25">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25">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25">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25">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25">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25">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25">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25">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25">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25">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25">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25">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25">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25">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25">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25">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25">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25">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25">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25">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25">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25">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25">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25">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25">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25">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25">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25">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25">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25">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25">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25">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25">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25">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25">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25">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25">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25">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25">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25">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25">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25">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25">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25">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25">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25">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25">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25">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25">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25">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25">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25">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25">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25">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25">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25">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25">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25">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25">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25">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25">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25">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25">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25">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25">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25">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25">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25">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25">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25">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25">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25">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25">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25">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25">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25">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25">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25">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25">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25">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25">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25">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25">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25">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25">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25">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25">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25">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25">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25">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25">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25">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25">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25">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25">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25">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25">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25">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25">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25">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25">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25">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25">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25">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25">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25">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25">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25">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25">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25">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25">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25">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25">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25">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25">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25">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25">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25">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25">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25">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25">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25">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25">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25">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25">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25">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25">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25">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25">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25">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25">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25">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25">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25">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25">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25">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25">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25">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25">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25">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25">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25">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25">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25">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25">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25">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25">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25">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25">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25">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25">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25">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25">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25">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25">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25">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25">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25">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25">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25">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25">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25">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25">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25">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25">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25">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25">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25">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25">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25">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25">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25">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25">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25">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25">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25">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25">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25">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25">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25">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25">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25">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25">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25">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25">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25">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25">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25">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25">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25">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25">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25">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25">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25">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25">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25">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25">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25">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25">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25">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25">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25">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25">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25">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25">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25">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25">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25">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25">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25">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25">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25">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25">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25">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25">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25">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25">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25">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25">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25">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25">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25">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25">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25">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25">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25">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25">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25">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25">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25">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25">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25">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25">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25">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25">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25">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25">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25">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25">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25">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25">
      <c r="C549" s="1090"/>
      <c r="D549" s="1090"/>
      <c r="E549" s="1090"/>
      <c r="F549" s="1090"/>
      <c r="G549" s="1090"/>
      <c r="H549" s="1090"/>
    </row>
    <row r="551" spans="2:58" ht="15.75" customHeight="1" x14ac:dyDescent="0.25">
      <c r="D551" s="1023"/>
    </row>
    <row r="596" spans="2:2" ht="15.75" customHeight="1" x14ac:dyDescent="0.25">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40625"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2"/>
      <c r="B2" s="95" t="s">
        <v>1538</v>
      </c>
      <c r="C2" s="1093">
        <f>'Ввод исходных данных'!$D$83-'Расчет базового уровня'!$D$145</f>
        <v>57</v>
      </c>
      <c r="D2" s="74"/>
      <c r="E2" s="74"/>
      <c r="F2" s="74"/>
      <c r="G2" s="74"/>
      <c r="H2" s="74"/>
      <c r="I2" s="74"/>
      <c r="J2" s="74"/>
      <c r="K2" s="74"/>
      <c r="L2" s="74"/>
      <c r="M2" s="74"/>
      <c r="N2" s="74"/>
      <c r="O2" s="74"/>
      <c r="P2" s="74"/>
      <c r="Q2" s="74"/>
      <c r="R2" s="74"/>
      <c r="S2" s="74"/>
      <c r="T2" s="74"/>
      <c r="U2" s="74"/>
      <c r="V2" s="74"/>
    </row>
    <row r="3" spans="1:59" ht="37.5" customHeight="1" x14ac:dyDescent="0.25">
      <c r="A3" s="1850" t="s">
        <v>757</v>
      </c>
      <c r="B3" s="1852" t="s">
        <v>1380</v>
      </c>
      <c r="C3" s="1854" t="s">
        <v>1370</v>
      </c>
      <c r="D3" s="1855"/>
      <c r="E3" s="1855"/>
      <c r="F3" s="1855"/>
      <c r="G3" s="1855"/>
      <c r="H3" s="1856"/>
      <c r="I3" s="1857" t="s">
        <v>1371</v>
      </c>
      <c r="J3" s="1857"/>
      <c r="K3" s="1858"/>
      <c r="L3" s="74"/>
      <c r="M3" s="74"/>
      <c r="N3" s="74"/>
      <c r="O3" s="74"/>
      <c r="P3" s="74"/>
      <c r="Q3" s="74"/>
      <c r="R3" s="74"/>
      <c r="S3" s="74"/>
      <c r="T3" s="74"/>
      <c r="U3" s="74"/>
      <c r="V3" s="74"/>
    </row>
    <row r="4" spans="1:59" ht="45.95" customHeight="1" x14ac:dyDescent="0.25">
      <c r="A4" s="1851"/>
      <c r="B4" s="1853"/>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25">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1.0919540229885059</v>
      </c>
      <c r="K5" s="1104">
        <f>MAX(I5:J5)</f>
        <v>1.0919540229885059</v>
      </c>
      <c r="L5" s="74"/>
      <c r="M5" s="74"/>
      <c r="N5" s="74"/>
      <c r="O5" s="74"/>
      <c r="P5" s="74"/>
      <c r="Q5" s="74"/>
      <c r="R5" s="74"/>
      <c r="S5" s="74"/>
      <c r="T5" s="74"/>
      <c r="U5" s="74"/>
      <c r="V5" s="74"/>
      <c r="W5" s="1105"/>
    </row>
    <row r="6" spans="1:59" s="1106" customFormat="1" ht="17.100000000000001" customHeight="1" x14ac:dyDescent="0.25">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1.0919540229885059</v>
      </c>
      <c r="K6" s="1104">
        <f t="shared" ref="K6:K33" si="1">MAX(I6:J6)</f>
        <v>1.0919540229885059</v>
      </c>
      <c r="L6" s="74"/>
      <c r="M6" s="74"/>
      <c r="N6" s="74"/>
      <c r="O6" s="74"/>
      <c r="P6" s="74"/>
      <c r="Q6" s="74"/>
      <c r="R6" s="74"/>
      <c r="S6" s="74"/>
      <c r="T6" s="74"/>
      <c r="U6" s="74"/>
      <c r="V6" s="74"/>
      <c r="W6" s="1105"/>
    </row>
    <row r="7" spans="1:59" s="1106" customFormat="1" ht="17.100000000000001" customHeight="1" x14ac:dyDescent="0.25">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1.0919540229885059</v>
      </c>
      <c r="K7" s="1104">
        <f t="shared" si="1"/>
        <v>1.0919540229885059</v>
      </c>
      <c r="L7" s="74"/>
      <c r="M7" s="74"/>
      <c r="N7" s="74"/>
      <c r="O7" s="74"/>
      <c r="P7" s="74"/>
      <c r="Q7" s="74"/>
      <c r="R7" s="74"/>
      <c r="S7" s="74"/>
      <c r="T7" s="74"/>
      <c r="U7" s="74"/>
      <c r="V7" s="74"/>
      <c r="W7" s="1105"/>
    </row>
    <row r="8" spans="1:59" s="1106" customFormat="1" ht="17.100000000000001" customHeight="1" x14ac:dyDescent="0.25">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1.0919540229885059</v>
      </c>
      <c r="K8" s="1104">
        <f t="shared" si="1"/>
        <v>1.0919540229885059</v>
      </c>
      <c r="L8" s="74"/>
      <c r="M8" s="74"/>
      <c r="N8" s="74"/>
      <c r="O8" s="74"/>
      <c r="P8" s="74"/>
      <c r="Q8" s="74"/>
      <c r="R8" s="74"/>
      <c r="S8" s="74"/>
      <c r="T8" s="74"/>
      <c r="U8" s="74"/>
      <c r="V8" s="74"/>
      <c r="W8" s="1105"/>
    </row>
    <row r="9" spans="1:59" s="1106" customFormat="1" ht="17.100000000000001" customHeight="1" x14ac:dyDescent="0.25">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1.0919540229885059</v>
      </c>
      <c r="K9" s="1104">
        <f t="shared" si="1"/>
        <v>1.0919540229885059</v>
      </c>
      <c r="L9" s="74"/>
      <c r="M9" s="74"/>
      <c r="N9" s="74"/>
      <c r="O9" s="74"/>
      <c r="P9" s="74"/>
      <c r="Q9" s="74"/>
      <c r="R9" s="74"/>
      <c r="S9" s="74"/>
      <c r="T9" s="74"/>
      <c r="U9" s="74"/>
      <c r="V9" s="74"/>
      <c r="W9" s="1105"/>
    </row>
    <row r="10" spans="1:59" s="1106" customFormat="1" ht="17.100000000000001" customHeight="1" x14ac:dyDescent="0.25">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3.5735350000000001</v>
      </c>
      <c r="K10" s="1104">
        <f t="shared" si="1"/>
        <v>3.5735350000000001</v>
      </c>
      <c r="L10" s="74"/>
      <c r="M10" s="74"/>
      <c r="N10" s="74"/>
      <c r="O10" s="74"/>
      <c r="P10" s="74"/>
      <c r="Q10" s="74"/>
      <c r="R10" s="74"/>
      <c r="S10" s="74"/>
      <c r="T10" s="74"/>
      <c r="U10" s="74"/>
      <c r="V10" s="74"/>
      <c r="W10" s="1105"/>
    </row>
    <row r="11" spans="1:59" s="1106" customFormat="1" ht="17.100000000000001" customHeight="1" x14ac:dyDescent="0.25">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3.5735350000000001</v>
      </c>
      <c r="K11" s="1104">
        <f t="shared" si="1"/>
        <v>3.5735350000000001</v>
      </c>
      <c r="L11" s="74"/>
      <c r="M11" s="74"/>
      <c r="N11" s="74"/>
      <c r="O11" s="74"/>
      <c r="P11" s="74"/>
      <c r="Q11" s="74"/>
      <c r="R11" s="74"/>
      <c r="S11" s="74"/>
      <c r="T11" s="74"/>
      <c r="U11" s="74"/>
      <c r="V11" s="74"/>
      <c r="W11" s="1105"/>
    </row>
    <row r="12" spans="1:59" s="1106" customFormat="1" ht="17.100000000000001" customHeight="1" x14ac:dyDescent="0.25">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1.0919540229885059</v>
      </c>
      <c r="K12" s="1104">
        <f t="shared" si="1"/>
        <v>1.0919540229885059</v>
      </c>
      <c r="L12" s="74"/>
      <c r="M12" s="74"/>
      <c r="N12" s="74"/>
      <c r="O12" s="74"/>
      <c r="P12" s="74"/>
      <c r="Q12" s="74"/>
      <c r="R12" s="74"/>
      <c r="S12" s="74"/>
      <c r="T12" s="74"/>
      <c r="U12" s="74"/>
      <c r="V12" s="74"/>
      <c r="W12" s="1105"/>
    </row>
    <row r="13" spans="1:59" s="1106" customFormat="1" ht="17.100000000000001" customHeight="1" x14ac:dyDescent="0.25">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1.0919540229885059</v>
      </c>
      <c r="K13" s="1104">
        <f t="shared" si="1"/>
        <v>1.0919540229885059</v>
      </c>
      <c r="L13" s="74"/>
      <c r="M13" s="74"/>
      <c r="N13" s="74"/>
      <c r="O13" s="74"/>
      <c r="P13" s="74"/>
      <c r="Q13" s="74"/>
      <c r="R13" s="74"/>
      <c r="S13" s="74"/>
      <c r="T13" s="74"/>
      <c r="U13" s="74"/>
      <c r="V13" s="74"/>
      <c r="W13" s="1105"/>
    </row>
    <row r="14" spans="1:59" s="1106" customFormat="1" ht="17.100000000000001" customHeight="1" x14ac:dyDescent="0.25">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1.0919540229885059</v>
      </c>
      <c r="K14" s="1104">
        <f t="shared" si="1"/>
        <v>1.0919540229885059</v>
      </c>
      <c r="L14" s="74"/>
      <c r="M14" s="74"/>
      <c r="N14" s="74"/>
      <c r="O14" s="74"/>
      <c r="P14" s="74"/>
      <c r="Q14" s="74"/>
      <c r="R14" s="74"/>
      <c r="S14" s="74"/>
      <c r="T14" s="74"/>
      <c r="U14" s="74"/>
      <c r="V14" s="74"/>
      <c r="W14" s="1105"/>
    </row>
    <row r="15" spans="1:59" s="1106" customFormat="1" ht="17.100000000000001" customHeight="1" x14ac:dyDescent="0.25">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1.0919540229885059</v>
      </c>
      <c r="K15" s="1104">
        <f t="shared" ref="K15" si="3">MAX(I15:J15)</f>
        <v>1.0919540229885059</v>
      </c>
      <c r="L15" s="74"/>
      <c r="M15" s="74"/>
      <c r="N15" s="74"/>
      <c r="O15" s="74"/>
      <c r="P15" s="74"/>
      <c r="Q15" s="74"/>
      <c r="R15" s="74"/>
      <c r="S15" s="74"/>
      <c r="T15" s="74"/>
      <c r="U15" s="74"/>
      <c r="V15" s="74"/>
      <c r="W15" s="1105"/>
    </row>
    <row r="16" spans="1:59" s="1106" customFormat="1" ht="17.100000000000001" customHeight="1" x14ac:dyDescent="0.25">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1.0919540229885059</v>
      </c>
      <c r="K16" s="1104">
        <f t="shared" si="1"/>
        <v>1.0919540229885059</v>
      </c>
      <c r="L16" s="74"/>
      <c r="M16" s="74"/>
      <c r="N16" s="74"/>
      <c r="O16" s="74"/>
      <c r="P16" s="74"/>
      <c r="Q16" s="74"/>
      <c r="R16" s="74"/>
      <c r="S16" s="74"/>
      <c r="T16" s="74"/>
      <c r="U16" s="74"/>
      <c r="V16" s="74"/>
      <c r="W16" s="1105"/>
    </row>
    <row r="17" spans="1:23" s="1106" customFormat="1" ht="17.100000000000001" customHeight="1" x14ac:dyDescent="0.25">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1.0919540229885059</v>
      </c>
      <c r="K17" s="1104">
        <f t="shared" si="1"/>
        <v>1.0919540229885059</v>
      </c>
      <c r="L17" s="74"/>
      <c r="M17" s="74"/>
      <c r="N17" s="74"/>
      <c r="O17" s="74"/>
      <c r="P17" s="74"/>
      <c r="Q17" s="74"/>
      <c r="R17" s="74"/>
      <c r="S17" s="74"/>
      <c r="T17" s="74"/>
      <c r="U17" s="74"/>
      <c r="V17" s="74"/>
      <c r="W17" s="1105"/>
    </row>
    <row r="18" spans="1:23" s="1106" customFormat="1" ht="17.100000000000001" customHeight="1" x14ac:dyDescent="0.25">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1.0919540229885059</v>
      </c>
      <c r="K18" s="1104">
        <f t="shared" ref="K18" si="5">MAX(I18:J18)</f>
        <v>1.0919540229885059</v>
      </c>
      <c r="L18" s="74"/>
      <c r="M18" s="74"/>
      <c r="N18" s="74"/>
      <c r="O18" s="74"/>
      <c r="P18" s="74"/>
      <c r="Q18" s="74"/>
      <c r="R18" s="74"/>
      <c r="S18" s="74"/>
      <c r="T18" s="74"/>
      <c r="U18" s="74"/>
      <c r="V18" s="74"/>
      <c r="W18" s="1105"/>
    </row>
    <row r="19" spans="1:23" s="1106" customFormat="1" ht="17.100000000000001" customHeight="1" x14ac:dyDescent="0.25">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1.0919540229885059</v>
      </c>
      <c r="K19" s="1104">
        <f t="shared" si="1"/>
        <v>1.0919540229885059</v>
      </c>
      <c r="L19" s="74"/>
      <c r="M19" s="74"/>
      <c r="N19" s="74"/>
      <c r="O19" s="74"/>
      <c r="P19" s="74"/>
      <c r="Q19" s="74"/>
      <c r="R19" s="74"/>
      <c r="S19" s="74"/>
      <c r="T19" s="74"/>
      <c r="U19" s="74"/>
      <c r="V19" s="74"/>
      <c r="W19" s="1105"/>
    </row>
    <row r="20" spans="1:23" s="1106" customFormat="1" ht="17.100000000000001" customHeight="1" x14ac:dyDescent="0.25">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1.0919540229885059</v>
      </c>
      <c r="K20" s="1104">
        <f t="shared" si="1"/>
        <v>1.0919540229885059</v>
      </c>
      <c r="L20" s="74"/>
      <c r="M20" s="74"/>
      <c r="N20" s="74"/>
      <c r="O20" s="74"/>
      <c r="P20" s="74"/>
      <c r="Q20" s="74"/>
      <c r="R20" s="74"/>
      <c r="S20" s="74"/>
      <c r="T20" s="74"/>
      <c r="U20" s="74"/>
      <c r="V20" s="74"/>
      <c r="W20" s="1105"/>
    </row>
    <row r="21" spans="1:23" s="1106" customFormat="1" ht="17.100000000000001" customHeight="1" x14ac:dyDescent="0.25">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1.0919540229885059</v>
      </c>
      <c r="K21" s="1104">
        <f t="shared" si="1"/>
        <v>1.0919540229885059</v>
      </c>
      <c r="L21" s="74"/>
      <c r="M21" s="74"/>
      <c r="N21" s="74"/>
      <c r="O21" s="74"/>
      <c r="P21" s="74"/>
      <c r="Q21" s="74"/>
      <c r="R21" s="74"/>
      <c r="S21" s="74"/>
      <c r="T21" s="74"/>
      <c r="U21" s="74"/>
      <c r="V21" s="74"/>
      <c r="W21" s="1105"/>
    </row>
    <row r="22" spans="1:23" s="1106" customFormat="1" ht="17.100000000000001" customHeight="1" x14ac:dyDescent="0.25">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1.0919540229885059</v>
      </c>
      <c r="K22" s="1104">
        <f t="shared" ref="K22" si="6">MAX(I22:J22)</f>
        <v>1.0919540229885059</v>
      </c>
      <c r="L22" s="74"/>
      <c r="M22" s="74"/>
      <c r="N22" s="74"/>
      <c r="O22" s="74"/>
      <c r="P22" s="74"/>
      <c r="Q22" s="74"/>
      <c r="R22" s="74"/>
      <c r="S22" s="74"/>
      <c r="T22" s="74"/>
      <c r="U22" s="74"/>
      <c r="V22" s="74"/>
      <c r="W22" s="1105"/>
    </row>
    <row r="23" spans="1:23" s="1106" customFormat="1" ht="17.100000000000001" customHeight="1" x14ac:dyDescent="0.25">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1.0919540229885059</v>
      </c>
      <c r="K23" s="1104">
        <f t="shared" si="1"/>
        <v>1.0919540229885059</v>
      </c>
      <c r="L23" s="74"/>
      <c r="M23" s="74"/>
      <c r="N23" s="74"/>
      <c r="O23" s="74"/>
      <c r="P23" s="74"/>
      <c r="Q23" s="74"/>
      <c r="R23" s="74"/>
      <c r="S23" s="74"/>
      <c r="T23" s="74"/>
      <c r="U23" s="74"/>
      <c r="V23" s="74"/>
      <c r="W23" s="1105"/>
    </row>
    <row r="24" spans="1:23" s="1106" customFormat="1" ht="17.100000000000001" customHeight="1" x14ac:dyDescent="0.25">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1.0919540229885059</v>
      </c>
      <c r="K24" s="1104">
        <f t="shared" si="1"/>
        <v>1.0919540229885059</v>
      </c>
      <c r="L24" s="74"/>
      <c r="M24" s="74"/>
      <c r="N24" s="74"/>
      <c r="O24" s="74"/>
      <c r="P24" s="74"/>
      <c r="Q24" s="74"/>
      <c r="R24" s="74"/>
      <c r="S24" s="74"/>
      <c r="T24" s="74"/>
      <c r="U24" s="74"/>
      <c r="V24" s="74"/>
      <c r="W24" s="1105"/>
    </row>
    <row r="25" spans="1:23" s="1106" customFormat="1" ht="17.100000000000001" customHeight="1" x14ac:dyDescent="0.25">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1.0919540229885059</v>
      </c>
      <c r="K25" s="1104">
        <f t="shared" si="1"/>
        <v>1.0919540229885059</v>
      </c>
      <c r="L25" s="74"/>
      <c r="M25" s="74"/>
      <c r="N25" s="74"/>
      <c r="O25" s="74"/>
      <c r="P25" s="74"/>
      <c r="Q25" s="74"/>
      <c r="R25" s="74"/>
      <c r="S25" s="74"/>
      <c r="T25" s="74"/>
      <c r="U25" s="74"/>
      <c r="V25" s="74"/>
      <c r="W25" s="1105"/>
    </row>
    <row r="26" spans="1:23" s="1106" customFormat="1" ht="17.100000000000001" customHeight="1" x14ac:dyDescent="0.25">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1.0919540229885059</v>
      </c>
      <c r="K26" s="1104">
        <f t="shared" si="1"/>
        <v>1.0919540229885059</v>
      </c>
      <c r="L26" s="74"/>
      <c r="M26" s="74"/>
      <c r="N26" s="74"/>
      <c r="O26" s="74"/>
      <c r="P26" s="74"/>
      <c r="Q26" s="74"/>
      <c r="R26" s="74"/>
      <c r="S26" s="74"/>
      <c r="T26" s="74"/>
      <c r="U26" s="74"/>
      <c r="V26" s="74"/>
      <c r="W26" s="1105"/>
    </row>
    <row r="27" spans="1:23" s="1106" customFormat="1" ht="17.100000000000001" customHeight="1" x14ac:dyDescent="0.25">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1.0919540229885059</v>
      </c>
      <c r="K27" s="1104">
        <f t="shared" ref="K27" si="7">MAX(I27:J27)</f>
        <v>1.0919540229885059</v>
      </c>
      <c r="L27" s="74"/>
      <c r="M27" s="74"/>
      <c r="N27" s="74"/>
      <c r="O27" s="74"/>
      <c r="P27" s="74"/>
      <c r="Q27" s="74"/>
      <c r="R27" s="74"/>
      <c r="S27" s="74"/>
      <c r="T27" s="74"/>
      <c r="U27" s="74"/>
      <c r="V27" s="74"/>
      <c r="W27" s="1105"/>
    </row>
    <row r="28" spans="1:23" s="1106" customFormat="1" ht="17.100000000000001" customHeight="1" x14ac:dyDescent="0.25">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1.0919540229885059</v>
      </c>
      <c r="K28" s="1104">
        <f t="shared" si="1"/>
        <v>1.0919540229885059</v>
      </c>
      <c r="L28" s="74"/>
      <c r="M28" s="74"/>
      <c r="N28" s="74"/>
      <c r="O28" s="74"/>
      <c r="P28" s="74"/>
      <c r="Q28" s="74"/>
      <c r="R28" s="74"/>
      <c r="S28" s="74"/>
      <c r="T28" s="74"/>
      <c r="U28" s="74"/>
      <c r="V28" s="74"/>
      <c r="W28" s="1105"/>
    </row>
    <row r="29" spans="1:23" s="1106" customFormat="1" ht="17.100000000000001" customHeight="1" x14ac:dyDescent="0.25">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1.0919540229885059</v>
      </c>
      <c r="K29" s="1104">
        <f t="shared" si="1"/>
        <v>1.0919540229885059</v>
      </c>
      <c r="L29" s="74"/>
      <c r="M29" s="74"/>
      <c r="N29" s="74"/>
      <c r="O29" s="74"/>
      <c r="P29" s="74"/>
      <c r="Q29" s="74"/>
      <c r="R29" s="74"/>
      <c r="S29" s="74"/>
      <c r="T29" s="74"/>
      <c r="U29" s="74"/>
      <c r="V29" s="74"/>
      <c r="W29" s="1105"/>
    </row>
    <row r="30" spans="1:23" s="1106" customFormat="1" ht="17.100000000000001" customHeight="1" x14ac:dyDescent="0.25">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1.0919540229885059</v>
      </c>
      <c r="K30" s="1104">
        <f t="shared" si="1"/>
        <v>1.0919540229885059</v>
      </c>
      <c r="L30" s="74"/>
      <c r="M30" s="74"/>
      <c r="N30" s="74"/>
      <c r="O30" s="74"/>
      <c r="P30" s="74"/>
      <c r="Q30" s="74"/>
      <c r="R30" s="74"/>
      <c r="S30" s="74"/>
      <c r="T30" s="74"/>
      <c r="U30" s="74"/>
      <c r="V30" s="74"/>
      <c r="W30" s="1105"/>
    </row>
    <row r="31" spans="1:23" s="1106" customFormat="1" ht="17.100000000000001" customHeight="1" x14ac:dyDescent="0.25">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1.0919540229885059</v>
      </c>
      <c r="K31" s="1104">
        <f t="shared" si="1"/>
        <v>1.0919540229885059</v>
      </c>
      <c r="L31" s="74"/>
      <c r="M31" s="74"/>
      <c r="N31" s="74"/>
      <c r="O31" s="74"/>
      <c r="P31" s="74"/>
      <c r="Q31" s="74"/>
      <c r="R31" s="74"/>
      <c r="S31" s="74"/>
      <c r="T31" s="74"/>
      <c r="U31" s="74"/>
      <c r="V31" s="74"/>
      <c r="W31" s="1105"/>
    </row>
    <row r="32" spans="1:23" s="1106" customFormat="1" ht="17.100000000000001" customHeight="1" x14ac:dyDescent="0.25">
      <c r="A32" s="977" t="s">
        <v>1168</v>
      </c>
      <c r="B32" s="1099" t="str">
        <f t="shared" si="0"/>
        <v>нет в спискемонолит</v>
      </c>
      <c r="C32" s="947" t="s">
        <v>1515</v>
      </c>
      <c r="D32" s="1107"/>
      <c r="E32" s="1107"/>
      <c r="F32" s="1101"/>
      <c r="G32" s="1107"/>
      <c r="H32" s="1107"/>
      <c r="I32" s="1108">
        <f>J32</f>
        <v>1.0919540229885059</v>
      </c>
      <c r="J32" s="1103">
        <f>1*('Ввод исходных данных'!$D$83-'Расчет базового уровня'!$D$145)/(6*8.7)</f>
        <v>1.0919540229885059</v>
      </c>
      <c r="K32" s="1104">
        <f t="shared" ref="K32" si="8">MAX(I32:J32)</f>
        <v>1.0919540229885059</v>
      </c>
      <c r="L32" s="74"/>
      <c r="M32" s="74"/>
      <c r="N32" s="74"/>
      <c r="O32" s="74"/>
      <c r="P32" s="74"/>
      <c r="Q32" s="74"/>
      <c r="R32" s="74"/>
      <c r="S32" s="74"/>
      <c r="T32" s="74"/>
      <c r="U32" s="74"/>
      <c r="V32" s="74"/>
      <c r="W32" s="1105"/>
    </row>
    <row r="33" spans="1:23" s="1106" customFormat="1" ht="17.100000000000001" customHeight="1" x14ac:dyDescent="0.25">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1.0919540229885059</v>
      </c>
      <c r="K33" s="1104">
        <f t="shared" si="1"/>
        <v>1.0919540229885059</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25">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74"/>
      <c r="B42" s="74"/>
      <c r="C42" s="74"/>
      <c r="D42" s="74"/>
      <c r="E42" s="74"/>
      <c r="F42" s="74"/>
      <c r="G42" s="74"/>
      <c r="H42" s="74"/>
      <c r="I42" s="74"/>
      <c r="J42" s="74"/>
      <c r="K42" s="74"/>
      <c r="L42" s="74"/>
      <c r="M42" s="74"/>
      <c r="N42" s="74"/>
      <c r="O42" s="74"/>
      <c r="P42" s="74"/>
      <c r="Q42" s="74"/>
      <c r="R42" s="74"/>
      <c r="S42" s="74"/>
      <c r="T42" s="74"/>
      <c r="U42" s="74"/>
      <c r="V42" s="74"/>
    </row>
    <row r="43" spans="1:23" x14ac:dyDescent="0.25">
      <c r="A43" s="95"/>
      <c r="B43" s="95" t="s">
        <v>1510</v>
      </c>
      <c r="C43" s="1121"/>
      <c r="L43" s="74"/>
      <c r="M43" s="74"/>
      <c r="N43" s="74"/>
      <c r="O43" s="74"/>
      <c r="P43" s="74"/>
      <c r="Q43" s="74"/>
      <c r="R43" s="74"/>
      <c r="S43" s="74"/>
      <c r="T43" s="74"/>
      <c r="U43" s="74"/>
      <c r="V43" s="74"/>
    </row>
    <row r="44" spans="1:23" ht="18" customHeight="1" x14ac:dyDescent="0.25">
      <c r="A44" s="95" t="s">
        <v>514</v>
      </c>
      <c r="B44" s="1122">
        <f>1*('Ввод исходных данных'!$D$83-'Расчет базового уровня'!$D$145)/(6*8.7)</f>
        <v>1.0919540229885059</v>
      </c>
    </row>
    <row r="45" spans="1:23" x14ac:dyDescent="0.25">
      <c r="A45" s="95" t="s">
        <v>865</v>
      </c>
      <c r="B45" s="1122">
        <f>0.6*B44</f>
        <v>0.65517241379310354</v>
      </c>
    </row>
    <row r="46" spans="1:23" ht="15" customHeight="1" x14ac:dyDescent="0.3">
      <c r="A46" s="95" t="s">
        <v>864</v>
      </c>
      <c r="B46" s="1122">
        <f>IF(C2&gt;25,IF(C2&gt;44, IF(C2&gt;49,0.52,0.38),0.34), 0.17)</f>
        <v>0.52</v>
      </c>
      <c r="I46" s="1123"/>
    </row>
    <row r="47" spans="1:23" x14ac:dyDescent="0.25">
      <c r="A47" s="274" t="s">
        <v>1329</v>
      </c>
      <c r="B47" s="1124">
        <v>1.32</v>
      </c>
    </row>
    <row r="48" spans="1:23" x14ac:dyDescent="0.25">
      <c r="A48" s="274" t="s">
        <v>1333</v>
      </c>
      <c r="B48" s="1124">
        <f>1*('Ввод исходных данных'!$D$83-'Расчет базового уровня'!$D$145)/(6*8.7)</f>
        <v>1.0919540229885059</v>
      </c>
    </row>
    <row r="49" spans="1:3" x14ac:dyDescent="0.25">
      <c r="A49" s="274" t="s">
        <v>1334</v>
      </c>
      <c r="B49" s="1124">
        <f>1*('Ввод исходных данных'!$D$83-'Расчет базового уровня'!$D$145)/(3*8.7)</f>
        <v>2.1839080459770117</v>
      </c>
    </row>
    <row r="50" spans="1:3" ht="17.25" customHeight="1" x14ac:dyDescent="0.25">
      <c r="A50" s="274" t="s">
        <v>1308</v>
      </c>
      <c r="B50" s="1124">
        <f>0.4*('Ввод исходных данных'!$D$83-'Расчет базового уровня'!$D$145)/(4*8.7)</f>
        <v>0.65517241379310354</v>
      </c>
    </row>
    <row r="51" spans="1:3" x14ac:dyDescent="0.25">
      <c r="A51" s="274" t="s">
        <v>1304</v>
      </c>
      <c r="B51" s="1124">
        <f>B44</f>
        <v>1.0919540229885059</v>
      </c>
    </row>
    <row r="52" spans="1:3" x14ac:dyDescent="0.25">
      <c r="A52" s="1125" t="s">
        <v>937</v>
      </c>
    </row>
    <row r="53" spans="1:3" ht="43.5" x14ac:dyDescent="0.25">
      <c r="A53" s="1126" t="s">
        <v>938</v>
      </c>
      <c r="B53" s="1127" t="s">
        <v>939</v>
      </c>
      <c r="C53" s="1128"/>
    </row>
    <row r="54" spans="1:3" x14ac:dyDescent="0.25">
      <c r="A54" s="1129"/>
      <c r="B54" s="1130" t="s">
        <v>971</v>
      </c>
      <c r="C54" s="1130" t="s">
        <v>932</v>
      </c>
    </row>
    <row r="55" spans="1:3" ht="22.5" x14ac:dyDescent="0.25">
      <c r="A55" s="1131" t="s">
        <v>940</v>
      </c>
      <c r="B55" s="1130">
        <v>0.4</v>
      </c>
      <c r="C55" s="1130"/>
    </row>
    <row r="56" spans="1:3" ht="22.5" x14ac:dyDescent="0.25">
      <c r="A56" s="1131" t="s">
        <v>941</v>
      </c>
      <c r="B56" s="1130">
        <v>0.44</v>
      </c>
      <c r="C56" s="1132">
        <v>0.34</v>
      </c>
    </row>
    <row r="57" spans="1:3" ht="22.5" x14ac:dyDescent="0.25">
      <c r="A57" s="1133" t="s">
        <v>942</v>
      </c>
      <c r="B57" s="1134"/>
      <c r="C57" s="1135"/>
    </row>
    <row r="58" spans="1:3" ht="24.75" customHeight="1" x14ac:dyDescent="0.25">
      <c r="A58" s="1136" t="s">
        <v>943</v>
      </c>
      <c r="B58" s="1137" t="s">
        <v>945</v>
      </c>
      <c r="C58" s="1138"/>
    </row>
    <row r="59" spans="1:3" x14ac:dyDescent="0.25">
      <c r="A59" s="1136" t="s">
        <v>944</v>
      </c>
      <c r="B59" s="1137" t="s">
        <v>946</v>
      </c>
      <c r="C59" s="1138"/>
    </row>
    <row r="60" spans="1:3" ht="22.5" customHeight="1" x14ac:dyDescent="0.25">
      <c r="A60" s="1131" t="s">
        <v>947</v>
      </c>
      <c r="B60" s="1139" t="s">
        <v>945</v>
      </c>
      <c r="C60" s="1140"/>
    </row>
    <row r="61" spans="1:3" ht="22.5" x14ac:dyDescent="0.25">
      <c r="A61" s="1131" t="s">
        <v>948</v>
      </c>
      <c r="B61" s="1130">
        <v>0.36</v>
      </c>
      <c r="C61" s="1130"/>
    </row>
    <row r="62" spans="1:3" ht="22.5" x14ac:dyDescent="0.25">
      <c r="A62" s="1131" t="s">
        <v>949</v>
      </c>
      <c r="B62" s="1130">
        <v>0.52</v>
      </c>
      <c r="C62" s="1130"/>
    </row>
    <row r="63" spans="1:3" ht="25.5" customHeight="1" x14ac:dyDescent="0.25">
      <c r="A63" s="1131" t="s">
        <v>950</v>
      </c>
      <c r="B63" s="1130">
        <v>0.55000000000000004</v>
      </c>
      <c r="C63" s="1130">
        <v>0.46</v>
      </c>
    </row>
    <row r="64" spans="1:3" x14ac:dyDescent="0.25">
      <c r="A64" s="1141" t="s">
        <v>951</v>
      </c>
      <c r="B64" s="1142"/>
      <c r="C64" s="1142"/>
    </row>
    <row r="65" spans="1:3" x14ac:dyDescent="0.25">
      <c r="A65" s="1143" t="s">
        <v>952</v>
      </c>
      <c r="B65" s="1136">
        <v>0.38</v>
      </c>
      <c r="C65" s="1136">
        <v>0.34</v>
      </c>
    </row>
    <row r="66" spans="1:3" x14ac:dyDescent="0.25">
      <c r="A66" s="1143" t="s">
        <v>953</v>
      </c>
      <c r="B66" s="1136">
        <v>0.51</v>
      </c>
      <c r="C66" s="1136">
        <v>0.43</v>
      </c>
    </row>
    <row r="67" spans="1:3" ht="36.75" customHeight="1" x14ac:dyDescent="0.25">
      <c r="A67" s="1144" t="s">
        <v>954</v>
      </c>
      <c r="B67" s="1145">
        <v>0.56000000000000005</v>
      </c>
      <c r="C67" s="1145">
        <v>0.47</v>
      </c>
    </row>
    <row r="68" spans="1:3" ht="36.75" customHeight="1" x14ac:dyDescent="0.25">
      <c r="A68" s="1141" t="s">
        <v>955</v>
      </c>
      <c r="B68" s="1142"/>
      <c r="C68" s="1142"/>
    </row>
    <row r="69" spans="1:3" ht="22.5" x14ac:dyDescent="0.25">
      <c r="A69" s="1143" t="s">
        <v>956</v>
      </c>
      <c r="B69" s="1136">
        <v>0.51</v>
      </c>
      <c r="C69" s="1136">
        <v>0.43</v>
      </c>
    </row>
    <row r="70" spans="1:3" ht="22.5" x14ac:dyDescent="0.25">
      <c r="A70" s="1143" t="s">
        <v>957</v>
      </c>
      <c r="B70" s="1136">
        <v>0.54</v>
      </c>
      <c r="C70" s="1136">
        <v>0.45</v>
      </c>
    </row>
    <row r="71" spans="1:3" x14ac:dyDescent="0.25">
      <c r="A71" s="1143" t="s">
        <v>953</v>
      </c>
      <c r="B71" s="1136">
        <v>0.57999999999999996</v>
      </c>
      <c r="C71" s="1136">
        <v>0.48</v>
      </c>
    </row>
    <row r="72" spans="1:3" x14ac:dyDescent="0.25">
      <c r="A72" s="1143" t="s">
        <v>954</v>
      </c>
      <c r="B72" s="1136">
        <v>0.68</v>
      </c>
      <c r="C72" s="1136">
        <v>0.52</v>
      </c>
    </row>
    <row r="73" spans="1:3" ht="22.5" x14ac:dyDescent="0.25">
      <c r="A73" s="1144" t="s">
        <v>958</v>
      </c>
      <c r="B73" s="1145">
        <v>0.65</v>
      </c>
      <c r="C73" s="1145">
        <v>0.53</v>
      </c>
    </row>
    <row r="74" spans="1:3" ht="22.5" customHeight="1" x14ac:dyDescent="0.25">
      <c r="A74" s="1844" t="s">
        <v>959</v>
      </c>
      <c r="B74" s="1845"/>
      <c r="C74" s="1846"/>
    </row>
    <row r="75" spans="1:3" ht="45" customHeight="1" x14ac:dyDescent="0.25">
      <c r="A75" s="1143" t="s">
        <v>952</v>
      </c>
      <c r="B75" s="1136">
        <v>0.56000000000000005</v>
      </c>
      <c r="C75" s="1136"/>
    </row>
    <row r="76" spans="1:3" ht="56.25" customHeight="1" x14ac:dyDescent="0.25">
      <c r="A76" s="1143" t="s">
        <v>953</v>
      </c>
      <c r="B76" s="1136">
        <v>0.65</v>
      </c>
      <c r="C76" s="1136"/>
    </row>
    <row r="77" spans="1:3" ht="33.75" customHeight="1" x14ac:dyDescent="0.25">
      <c r="A77" s="1143" t="s">
        <v>954</v>
      </c>
      <c r="B77" s="1136">
        <v>0.72</v>
      </c>
      <c r="C77" s="1136"/>
    </row>
    <row r="78" spans="1:3" ht="22.5" x14ac:dyDescent="0.25">
      <c r="A78" s="1143" t="s">
        <v>958</v>
      </c>
      <c r="B78" s="1145">
        <v>0.69</v>
      </c>
      <c r="C78" s="1145"/>
    </row>
    <row r="79" spans="1:3" x14ac:dyDescent="0.25">
      <c r="A79" s="1844" t="s">
        <v>960</v>
      </c>
      <c r="B79" s="1845"/>
      <c r="C79" s="1846"/>
    </row>
    <row r="80" spans="1:3" x14ac:dyDescent="0.25">
      <c r="A80" s="1143" t="s">
        <v>952</v>
      </c>
      <c r="B80" s="1136">
        <v>0.68</v>
      </c>
      <c r="C80" s="1136" t="s">
        <v>746</v>
      </c>
    </row>
    <row r="81" spans="1:15" s="1146" customFormat="1" ht="13.5" customHeight="1" x14ac:dyDescent="0.25">
      <c r="A81" s="1143" t="s">
        <v>953</v>
      </c>
      <c r="B81" s="1136">
        <v>0.74</v>
      </c>
      <c r="C81" s="1136" t="s">
        <v>746</v>
      </c>
      <c r="D81" s="75"/>
      <c r="E81" s="75"/>
      <c r="F81" s="75"/>
      <c r="G81" s="75"/>
      <c r="H81" s="75"/>
      <c r="I81" s="75"/>
      <c r="J81" s="75"/>
      <c r="K81" s="75"/>
      <c r="L81" s="75"/>
      <c r="M81" s="75"/>
      <c r="N81" s="75"/>
      <c r="O81" s="75"/>
    </row>
    <row r="82" spans="1:15" s="1146" customFormat="1" ht="13.5" customHeight="1" x14ac:dyDescent="0.25">
      <c r="A82" s="1143" t="s">
        <v>954</v>
      </c>
      <c r="B82" s="1136">
        <v>0.81</v>
      </c>
      <c r="C82" s="1136" t="s">
        <v>746</v>
      </c>
      <c r="D82" s="75"/>
      <c r="E82" s="75"/>
      <c r="F82" s="75"/>
      <c r="G82" s="75"/>
      <c r="H82" s="75"/>
      <c r="I82" s="75"/>
      <c r="J82" s="75"/>
      <c r="K82" s="75"/>
      <c r="L82" s="75"/>
      <c r="M82" s="75"/>
      <c r="N82" s="75"/>
      <c r="O82" s="75"/>
    </row>
    <row r="83" spans="1:15" s="1146" customFormat="1" ht="13.5" customHeight="1" x14ac:dyDescent="0.25">
      <c r="A83" s="1143" t="s">
        <v>958</v>
      </c>
      <c r="B83" s="1145">
        <v>0.82</v>
      </c>
      <c r="C83" s="1145" t="s">
        <v>746</v>
      </c>
      <c r="D83" s="75"/>
      <c r="E83" s="75"/>
      <c r="F83" s="75"/>
      <c r="G83" s="75"/>
      <c r="H83" s="75"/>
      <c r="I83" s="75"/>
      <c r="J83" s="75"/>
      <c r="K83" s="75"/>
      <c r="L83" s="75"/>
      <c r="M83" s="75"/>
      <c r="N83" s="75"/>
      <c r="O83" s="75"/>
    </row>
    <row r="84" spans="1:15" s="1146" customFormat="1" ht="13.5" customHeight="1" x14ac:dyDescent="0.25">
      <c r="A84" s="1147" t="s">
        <v>961</v>
      </c>
      <c r="B84" s="1130">
        <v>0.7</v>
      </c>
      <c r="C84" s="1130" t="s">
        <v>746</v>
      </c>
      <c r="D84" s="75"/>
      <c r="E84" s="75"/>
      <c r="F84" s="75"/>
      <c r="G84" s="75"/>
      <c r="H84" s="75"/>
      <c r="I84" s="75"/>
      <c r="J84" s="75"/>
      <c r="K84" s="75"/>
      <c r="L84" s="75"/>
      <c r="M84" s="75"/>
      <c r="N84" s="75"/>
      <c r="O84" s="75"/>
    </row>
    <row r="85" spans="1:15" s="1146" customFormat="1" ht="13.5" customHeight="1" x14ac:dyDescent="0.25">
      <c r="A85" s="1131" t="s">
        <v>962</v>
      </c>
      <c r="B85" s="1130">
        <v>0.74</v>
      </c>
      <c r="C85" s="1130" t="s">
        <v>746</v>
      </c>
      <c r="D85" s="75"/>
      <c r="E85" s="75"/>
      <c r="F85" s="75"/>
      <c r="G85" s="75"/>
      <c r="H85" s="75"/>
      <c r="I85" s="75"/>
      <c r="J85" s="75"/>
      <c r="K85" s="75"/>
      <c r="L85" s="75"/>
      <c r="M85" s="75"/>
      <c r="N85" s="75"/>
      <c r="O85" s="75"/>
    </row>
    <row r="86" spans="1:15" s="1146" customFormat="1" ht="13.5" customHeight="1" x14ac:dyDescent="0.25">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25">
      <c r="A87" s="1148" t="s">
        <v>965</v>
      </c>
      <c r="B87" s="1149"/>
      <c r="C87" s="1150"/>
      <c r="D87" s="75"/>
      <c r="E87" s="75"/>
      <c r="F87" s="75"/>
      <c r="G87" s="75"/>
      <c r="H87" s="75"/>
      <c r="I87" s="75"/>
      <c r="J87" s="75"/>
      <c r="K87" s="75"/>
      <c r="L87" s="75"/>
      <c r="M87" s="75"/>
      <c r="N87" s="75"/>
      <c r="O87" s="75"/>
    </row>
    <row r="88" spans="1:15" s="1146" customFormat="1" ht="13.5" customHeight="1" x14ac:dyDescent="0.25">
      <c r="A88" s="1151"/>
      <c r="B88" s="1152"/>
      <c r="C88" s="1153"/>
      <c r="D88" s="75"/>
      <c r="E88" s="75"/>
      <c r="F88" s="75"/>
      <c r="G88" s="75"/>
      <c r="H88" s="75"/>
      <c r="I88" s="75"/>
      <c r="J88" s="75"/>
      <c r="K88" s="75"/>
      <c r="L88" s="75"/>
      <c r="M88" s="75"/>
      <c r="N88" s="75"/>
      <c r="O88" s="75"/>
    </row>
    <row r="89" spans="1:15" s="1146" customFormat="1" ht="13.5" customHeight="1" x14ac:dyDescent="0.25">
      <c r="A89" s="1154" t="s">
        <v>966</v>
      </c>
      <c r="B89" s="1155"/>
      <c r="C89" s="1156"/>
      <c r="D89" s="75"/>
      <c r="E89" s="75"/>
      <c r="F89" s="75"/>
      <c r="G89" s="75"/>
      <c r="H89" s="75"/>
      <c r="I89" s="75"/>
      <c r="J89" s="75"/>
      <c r="K89" s="75"/>
      <c r="L89" s="75"/>
      <c r="M89" s="75"/>
      <c r="N89" s="75"/>
      <c r="O89" s="75"/>
    </row>
    <row r="90" spans="1:15" s="1146" customFormat="1" ht="13.5" customHeight="1" x14ac:dyDescent="0.25">
      <c r="A90" s="1847" t="s">
        <v>967</v>
      </c>
      <c r="B90" s="1848"/>
      <c r="C90" s="1849"/>
      <c r="D90" s="75"/>
      <c r="E90" s="75"/>
      <c r="F90" s="75"/>
      <c r="G90" s="75"/>
      <c r="H90" s="75"/>
      <c r="I90" s="75"/>
      <c r="J90" s="75"/>
      <c r="K90" s="75"/>
      <c r="L90" s="75"/>
      <c r="M90" s="75"/>
      <c r="N90" s="75"/>
      <c r="O90" s="75"/>
    </row>
    <row r="91" spans="1:15" s="1146" customFormat="1" ht="13.5" customHeight="1" x14ac:dyDescent="0.25">
      <c r="A91" s="1847" t="s">
        <v>968</v>
      </c>
      <c r="B91" s="1848"/>
      <c r="C91" s="1849"/>
      <c r="D91" s="75"/>
      <c r="E91" s="75"/>
      <c r="F91" s="75"/>
      <c r="G91" s="75"/>
      <c r="H91" s="75"/>
      <c r="I91" s="75"/>
      <c r="J91" s="75"/>
      <c r="K91" s="75"/>
      <c r="L91" s="75"/>
      <c r="M91" s="75"/>
      <c r="N91" s="75"/>
      <c r="O91" s="75"/>
    </row>
    <row r="92" spans="1:15" s="1146" customFormat="1" ht="13.5" customHeight="1" x14ac:dyDescent="0.25">
      <c r="A92" s="1847" t="s">
        <v>969</v>
      </c>
      <c r="B92" s="1848"/>
      <c r="C92" s="1849"/>
      <c r="D92" s="75"/>
      <c r="E92" s="75"/>
      <c r="F92" s="75"/>
      <c r="G92" s="75"/>
      <c r="H92" s="75"/>
      <c r="I92" s="75"/>
      <c r="J92" s="75"/>
      <c r="K92" s="75"/>
      <c r="L92" s="75"/>
      <c r="M92" s="75"/>
      <c r="N92" s="75"/>
      <c r="O92" s="75"/>
    </row>
    <row r="93" spans="1:15" s="1146" customFormat="1" ht="13.5" customHeight="1" x14ac:dyDescent="0.25">
      <c r="A93" s="1841" t="s">
        <v>970</v>
      </c>
      <c r="B93" s="1842"/>
      <c r="C93" s="1843"/>
      <c r="D93" s="75"/>
      <c r="E93" s="75"/>
      <c r="F93" s="75"/>
      <c r="G93" s="75"/>
      <c r="H93" s="75"/>
      <c r="I93" s="75"/>
      <c r="J93" s="75"/>
      <c r="K93" s="75"/>
      <c r="L93" s="75"/>
      <c r="M93" s="75"/>
      <c r="N93" s="75"/>
      <c r="O93" s="75"/>
    </row>
    <row r="94" spans="1:15" s="1146" customFormat="1" ht="13.5" customHeight="1" x14ac:dyDescent="0.25">
      <c r="A94" s="75"/>
      <c r="B94" s="75"/>
      <c r="C94" s="75"/>
      <c r="D94" s="75"/>
      <c r="E94" s="75"/>
      <c r="F94" s="75"/>
      <c r="G94" s="75"/>
      <c r="H94" s="75"/>
      <c r="I94" s="75"/>
      <c r="J94" s="75"/>
      <c r="K94" s="75"/>
      <c r="L94" s="75"/>
      <c r="M94" s="75"/>
      <c r="N94" s="75"/>
      <c r="O94" s="75"/>
    </row>
    <row r="95" spans="1:15" s="1146" customFormat="1" ht="13.5" customHeight="1" x14ac:dyDescent="0.25">
      <c r="A95" s="75"/>
      <c r="B95" s="75"/>
      <c r="C95" s="75"/>
      <c r="D95" s="75"/>
      <c r="E95" s="75"/>
      <c r="F95" s="75"/>
      <c r="G95" s="75"/>
      <c r="H95" s="75"/>
      <c r="I95" s="75"/>
      <c r="J95" s="75"/>
      <c r="K95" s="75"/>
      <c r="L95" s="75"/>
      <c r="M95" s="75"/>
      <c r="N95" s="75"/>
      <c r="O95" s="75"/>
    </row>
    <row r="96" spans="1:15" s="1146" customFormat="1" ht="13.5" customHeight="1" x14ac:dyDescent="0.25">
      <c r="A96" s="75"/>
      <c r="B96" s="75"/>
      <c r="C96" s="75"/>
      <c r="D96" s="75"/>
      <c r="E96" s="75"/>
      <c r="F96" s="75"/>
      <c r="G96" s="75"/>
      <c r="H96" s="75"/>
      <c r="I96" s="75"/>
      <c r="J96" s="75"/>
      <c r="K96" s="75"/>
      <c r="L96" s="75"/>
      <c r="M96" s="75"/>
      <c r="N96" s="75"/>
      <c r="O96" s="75"/>
    </row>
    <row r="97" spans="1:8" s="1146" customFormat="1" ht="13.5" customHeight="1" x14ac:dyDescent="0.25">
      <c r="A97" s="1859" t="s">
        <v>901</v>
      </c>
      <c r="B97" s="1860" t="s">
        <v>1005</v>
      </c>
      <c r="C97" s="1860"/>
      <c r="D97" s="1860"/>
      <c r="E97" s="1860" t="s">
        <v>1006</v>
      </c>
      <c r="F97" s="1860"/>
      <c r="G97" s="1860"/>
      <c r="H97" s="1860"/>
    </row>
    <row r="98" spans="1:8" s="1146" customFormat="1" ht="13.5" customHeight="1" x14ac:dyDescent="0.25">
      <c r="A98" s="1859"/>
      <c r="B98" s="1157" t="s">
        <v>1007</v>
      </c>
      <c r="C98" s="1860" t="s">
        <v>1009</v>
      </c>
      <c r="D98" s="1867" t="s">
        <v>1010</v>
      </c>
      <c r="E98" s="1860" t="s">
        <v>1012</v>
      </c>
      <c r="F98" s="1860"/>
      <c r="G98" s="1860" t="s">
        <v>1015</v>
      </c>
      <c r="H98" s="1860"/>
    </row>
    <row r="99" spans="1:8" s="1146" customFormat="1" ht="13.5" customHeight="1" x14ac:dyDescent="0.25">
      <c r="A99" s="1859"/>
      <c r="B99" s="1157" t="s">
        <v>1008</v>
      </c>
      <c r="C99" s="1860"/>
      <c r="D99" s="1868"/>
      <c r="E99" s="1860" t="s">
        <v>1013</v>
      </c>
      <c r="F99" s="1860"/>
      <c r="G99" s="1860"/>
      <c r="H99" s="1860"/>
    </row>
    <row r="100" spans="1:8" s="1146" customFormat="1" ht="13.5" customHeight="1" x14ac:dyDescent="0.25">
      <c r="A100" s="1859"/>
      <c r="B100" s="1158"/>
      <c r="C100" s="1860"/>
      <c r="D100" s="1869"/>
      <c r="E100" s="1860" t="s">
        <v>1014</v>
      </c>
      <c r="F100" s="1860"/>
      <c r="G100" s="1860"/>
      <c r="H100" s="1860"/>
    </row>
    <row r="101" spans="1:8" s="1146" customFormat="1" ht="13.5" customHeight="1" x14ac:dyDescent="0.25">
      <c r="A101" s="1859"/>
      <c r="B101" s="1158"/>
      <c r="C101" s="1860"/>
      <c r="D101" s="1157" t="s">
        <v>1011</v>
      </c>
      <c r="E101" s="1157" t="s">
        <v>563</v>
      </c>
      <c r="F101" s="1157" t="s">
        <v>925</v>
      </c>
      <c r="G101" s="1157" t="s">
        <v>563</v>
      </c>
      <c r="H101" s="1159" t="s">
        <v>925</v>
      </c>
    </row>
    <row r="102" spans="1:8" s="1146" customFormat="1" ht="13.5" customHeight="1" x14ac:dyDescent="0.25">
      <c r="A102" s="1160"/>
      <c r="B102" s="1157"/>
      <c r="C102" s="1157"/>
      <c r="D102" s="1157"/>
      <c r="E102" s="1157"/>
      <c r="F102" s="1157"/>
      <c r="G102" s="1157"/>
      <c r="H102" s="1157"/>
    </row>
    <row r="103" spans="1:8" s="1146" customFormat="1" ht="13.5" customHeight="1" x14ac:dyDescent="0.25">
      <c r="A103" s="1862" t="s">
        <v>1016</v>
      </c>
      <c r="B103" s="1862"/>
      <c r="C103" s="1862"/>
      <c r="D103" s="1862"/>
      <c r="E103" s="1862"/>
      <c r="F103" s="1862"/>
      <c r="G103" s="1862"/>
      <c r="H103" s="1862"/>
    </row>
    <row r="104" spans="1:8" s="1146" customFormat="1" ht="13.5" customHeight="1" x14ac:dyDescent="0.25">
      <c r="A104" s="1861" t="s">
        <v>1017</v>
      </c>
      <c r="B104" s="1861"/>
      <c r="C104" s="1861"/>
      <c r="D104" s="1861"/>
      <c r="E104" s="1861"/>
      <c r="F104" s="1861"/>
      <c r="G104" s="1861"/>
      <c r="H104" s="1861"/>
    </row>
    <row r="105" spans="1:8" s="1146" customFormat="1" ht="13.5" customHeight="1" x14ac:dyDescent="0.25">
      <c r="A105" s="1157" t="s">
        <v>1018</v>
      </c>
      <c r="B105" s="1157">
        <v>150</v>
      </c>
      <c r="C105" s="1157">
        <v>1.34</v>
      </c>
      <c r="D105" s="1157">
        <v>0.05</v>
      </c>
      <c r="E105" s="1157">
        <v>1</v>
      </c>
      <c r="F105" s="1157">
        <v>5</v>
      </c>
      <c r="G105" s="1157">
        <v>5.1999999999999998E-2</v>
      </c>
      <c r="H105" s="1157">
        <v>0.06</v>
      </c>
    </row>
    <row r="106" spans="1:8" s="1146" customFormat="1" ht="13.5" customHeight="1" x14ac:dyDescent="0.25">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25">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25">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25">
      <c r="A109" s="1157" t="s">
        <v>1022</v>
      </c>
      <c r="B109" s="1157">
        <v>24</v>
      </c>
      <c r="C109" s="1157">
        <v>1.34</v>
      </c>
      <c r="D109" s="1157">
        <v>0.04</v>
      </c>
      <c r="E109" s="1157">
        <v>2</v>
      </c>
      <c r="F109" s="1157">
        <v>10</v>
      </c>
      <c r="G109" s="1157">
        <v>0.04</v>
      </c>
      <c r="H109" s="1157">
        <v>4.1000000000000002E-2</v>
      </c>
    </row>
    <row r="110" spans="1:8" s="1146" customFormat="1" ht="13.5" customHeight="1" x14ac:dyDescent="0.25">
      <c r="A110" s="1157" t="s">
        <v>1023</v>
      </c>
      <c r="B110" s="1157">
        <v>25</v>
      </c>
      <c r="C110" s="1157">
        <v>1.34</v>
      </c>
      <c r="D110" s="1157">
        <v>2.9000000000000001E-2</v>
      </c>
      <c r="E110" s="1157">
        <v>2</v>
      </c>
      <c r="F110" s="1157">
        <v>10</v>
      </c>
      <c r="G110" s="1157">
        <v>3.1E-2</v>
      </c>
      <c r="H110" s="1157">
        <v>3.1E-2</v>
      </c>
    </row>
    <row r="111" spans="1:8" s="1146" customFormat="1" ht="13.5" customHeight="1" x14ac:dyDescent="0.25">
      <c r="A111" s="1157" t="s">
        <v>1024</v>
      </c>
      <c r="B111" s="1157">
        <v>28</v>
      </c>
      <c r="C111" s="1157">
        <v>1.34</v>
      </c>
      <c r="D111" s="1157">
        <v>2.9000000000000001E-2</v>
      </c>
      <c r="E111" s="1157">
        <v>2</v>
      </c>
      <c r="F111" s="1157">
        <v>10</v>
      </c>
      <c r="G111" s="1157">
        <v>3.1E-2</v>
      </c>
      <c r="H111" s="1157">
        <v>3.1E-2</v>
      </c>
    </row>
    <row r="112" spans="1:8" s="1146" customFormat="1" ht="13.5" customHeight="1" x14ac:dyDescent="0.25">
      <c r="A112" s="1157" t="s">
        <v>1025</v>
      </c>
      <c r="B112" s="1157">
        <v>33</v>
      </c>
      <c r="C112" s="1157">
        <v>1.34</v>
      </c>
      <c r="D112" s="1157">
        <v>2.9000000000000001E-2</v>
      </c>
      <c r="E112" s="1157">
        <v>2</v>
      </c>
      <c r="F112" s="1157">
        <v>10</v>
      </c>
      <c r="G112" s="1157">
        <v>3.1E-2</v>
      </c>
      <c r="H112" s="1157">
        <v>3.1E-2</v>
      </c>
    </row>
    <row r="113" spans="1:8" s="1146" customFormat="1" ht="13.5" customHeight="1" x14ac:dyDescent="0.25">
      <c r="A113" s="1157" t="s">
        <v>1026</v>
      </c>
      <c r="B113" s="1157">
        <v>35</v>
      </c>
      <c r="C113" s="1157">
        <v>1.34</v>
      </c>
      <c r="D113" s="1157">
        <v>0.03</v>
      </c>
      <c r="E113" s="1157">
        <v>2</v>
      </c>
      <c r="F113" s="1157">
        <v>10</v>
      </c>
      <c r="G113" s="1157">
        <v>3.1E-2</v>
      </c>
      <c r="H113" s="1157">
        <v>3.1E-2</v>
      </c>
    </row>
    <row r="114" spans="1:8" s="1146" customFormat="1" ht="13.5" customHeight="1" x14ac:dyDescent="0.25">
      <c r="A114" s="1157" t="s">
        <v>1027</v>
      </c>
      <c r="B114" s="1157">
        <v>45</v>
      </c>
      <c r="C114" s="1157">
        <v>1.34</v>
      </c>
      <c r="D114" s="1157">
        <v>0.03</v>
      </c>
      <c r="E114" s="1157">
        <v>2</v>
      </c>
      <c r="F114" s="1157">
        <v>10</v>
      </c>
      <c r="G114" s="1157">
        <v>3.1E-2</v>
      </c>
      <c r="H114" s="1157">
        <v>3.1E-2</v>
      </c>
    </row>
    <row r="115" spans="1:8" s="1146" customFormat="1" ht="13.5" customHeight="1" x14ac:dyDescent="0.25">
      <c r="A115" s="1157" t="s">
        <v>1028</v>
      </c>
      <c r="B115" s="1157">
        <v>15</v>
      </c>
      <c r="C115" s="1157">
        <v>1.34</v>
      </c>
      <c r="D115" s="1157">
        <v>3.9E-2</v>
      </c>
      <c r="E115" s="1157">
        <v>2</v>
      </c>
      <c r="F115" s="1157">
        <v>10</v>
      </c>
      <c r="G115" s="1157">
        <v>0.04</v>
      </c>
      <c r="H115" s="1157">
        <v>4.3999999999999997E-2</v>
      </c>
    </row>
    <row r="116" spans="1:8" s="1146" customFormat="1" ht="13.5" customHeight="1" x14ac:dyDescent="0.25">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25">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25">
      <c r="A118" s="1157" t="s">
        <v>1031</v>
      </c>
      <c r="B118" s="1157">
        <v>28</v>
      </c>
      <c r="C118" s="1161">
        <v>1.45</v>
      </c>
      <c r="D118" s="1162">
        <v>2.9000000000000001E-2</v>
      </c>
      <c r="E118" s="1157">
        <v>2</v>
      </c>
      <c r="F118" s="1157">
        <v>10</v>
      </c>
      <c r="G118" s="1157">
        <v>0.03</v>
      </c>
      <c r="H118" s="1157">
        <v>3.1E-2</v>
      </c>
    </row>
    <row r="119" spans="1:8" s="1146" customFormat="1" ht="13.5" customHeight="1" x14ac:dyDescent="0.25">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25">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25">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25">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25">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25">
      <c r="A124" s="1157" t="s">
        <v>1037</v>
      </c>
      <c r="B124" s="1157">
        <v>25</v>
      </c>
      <c r="C124" s="1161">
        <v>1.45</v>
      </c>
      <c r="D124" s="1162">
        <v>2.9000000000000001E-2</v>
      </c>
      <c r="E124" s="1157">
        <v>2</v>
      </c>
      <c r="F124" s="1157">
        <v>10</v>
      </c>
      <c r="G124" s="1157">
        <v>3.1E-2</v>
      </c>
      <c r="H124" s="1157">
        <v>3.1E-2</v>
      </c>
    </row>
    <row r="125" spans="1:8" s="1146" customFormat="1" ht="13.5" customHeight="1" x14ac:dyDescent="0.25">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25">
      <c r="A126" s="1860" t="s">
        <v>1022</v>
      </c>
      <c r="B126" s="1157" t="s">
        <v>1039</v>
      </c>
      <c r="C126" s="1863">
        <v>1.26</v>
      </c>
      <c r="D126" s="1864">
        <v>4.1000000000000002E-2</v>
      </c>
      <c r="E126" s="1860">
        <v>2</v>
      </c>
      <c r="F126" s="1860">
        <v>10</v>
      </c>
      <c r="G126" s="1860">
        <v>0.05</v>
      </c>
      <c r="H126" s="1860">
        <v>5.1999999999999998E-2</v>
      </c>
    </row>
    <row r="127" spans="1:8" s="1146" customFormat="1" ht="13.5" customHeight="1" x14ac:dyDescent="0.25">
      <c r="A127" s="1860"/>
      <c r="B127" s="1157" t="s">
        <v>1040</v>
      </c>
      <c r="C127" s="1863"/>
      <c r="D127" s="1864"/>
      <c r="E127" s="1860"/>
      <c r="F127" s="1860"/>
      <c r="G127" s="1860"/>
      <c r="H127" s="1860"/>
    </row>
    <row r="128" spans="1:8" s="1146" customFormat="1" ht="13.5" customHeight="1" x14ac:dyDescent="0.25">
      <c r="A128" s="1157" t="s">
        <v>1041</v>
      </c>
      <c r="B128" s="1157">
        <v>80</v>
      </c>
      <c r="C128" s="1161">
        <v>1.47</v>
      </c>
      <c r="D128" s="1162">
        <v>4.1000000000000002E-2</v>
      </c>
      <c r="E128" s="1157">
        <v>2</v>
      </c>
      <c r="F128" s="1157">
        <v>5</v>
      </c>
      <c r="G128" s="1157">
        <v>0.05</v>
      </c>
      <c r="H128" s="1157">
        <v>0.05</v>
      </c>
    </row>
    <row r="129" spans="1:8" s="1146" customFormat="1" ht="13.5" customHeight="1" x14ac:dyDescent="0.25">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25">
      <c r="A130" s="1160" t="s">
        <v>1019</v>
      </c>
      <c r="B130" s="1157">
        <v>40</v>
      </c>
      <c r="C130" s="1161">
        <v>1.47</v>
      </c>
      <c r="D130" s="1162">
        <v>2.9000000000000001E-2</v>
      </c>
      <c r="E130" s="1157">
        <v>2</v>
      </c>
      <c r="F130" s="1157">
        <v>5</v>
      </c>
      <c r="G130" s="1157">
        <v>0.04</v>
      </c>
      <c r="H130" s="1157">
        <v>0.04</v>
      </c>
    </row>
    <row r="131" spans="1:8" s="1146" customFormat="1" ht="29.25" customHeight="1" x14ac:dyDescent="0.25">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25">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25">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25">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25">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25">
      <c r="A136" s="1157" t="s">
        <v>1044</v>
      </c>
      <c r="B136" s="1157">
        <v>300</v>
      </c>
      <c r="C136" s="1161">
        <v>1.05</v>
      </c>
      <c r="D136" s="1162">
        <v>7.5999999999999998E-2</v>
      </c>
      <c r="E136" s="1157">
        <v>3</v>
      </c>
      <c r="F136" s="1157">
        <v>12</v>
      </c>
      <c r="G136" s="1157">
        <v>0.08</v>
      </c>
      <c r="H136" s="1157">
        <v>0.12</v>
      </c>
    </row>
    <row r="137" spans="1:8" s="1146" customFormat="1" ht="13.5" customHeight="1" x14ac:dyDescent="0.25">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25">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25">
      <c r="A139" s="1860" t="s">
        <v>1046</v>
      </c>
      <c r="B139" s="1157" t="s">
        <v>1047</v>
      </c>
      <c r="C139" s="1161">
        <v>1.806</v>
      </c>
      <c r="D139" s="1162">
        <v>3.9E-2</v>
      </c>
      <c r="E139" s="1157">
        <v>0</v>
      </c>
      <c r="F139" s="1157">
        <v>0</v>
      </c>
      <c r="G139" s="1157">
        <v>3.9E-2</v>
      </c>
      <c r="H139" s="1157" t="s">
        <v>1052</v>
      </c>
    </row>
    <row r="140" spans="1:8" s="1146" customFormat="1" ht="13.5" customHeight="1" x14ac:dyDescent="0.25">
      <c r="A140" s="1860"/>
      <c r="B140" s="1157" t="s">
        <v>1048</v>
      </c>
      <c r="C140" s="1161" t="s">
        <v>1049</v>
      </c>
      <c r="D140" s="1162" t="s">
        <v>1050</v>
      </c>
      <c r="E140" s="1157" t="s">
        <v>1051</v>
      </c>
      <c r="F140" s="1157" t="s">
        <v>1051</v>
      </c>
      <c r="G140" s="1157" t="s">
        <v>1050</v>
      </c>
      <c r="H140" s="1157">
        <v>4.1000000000000002E-2</v>
      </c>
    </row>
    <row r="141" spans="1:8" s="1146" customFormat="1" ht="13.5" customHeight="1" x14ac:dyDescent="0.25">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25">
      <c r="A142" s="1157" t="s">
        <v>1054</v>
      </c>
      <c r="B142" s="1157">
        <v>45</v>
      </c>
      <c r="C142" s="1161">
        <v>1.53</v>
      </c>
      <c r="D142" s="1162">
        <v>0.03</v>
      </c>
      <c r="E142" s="1157">
        <v>2</v>
      </c>
      <c r="F142" s="1157">
        <v>3</v>
      </c>
      <c r="G142" s="1157">
        <v>3.1E-2</v>
      </c>
      <c r="H142" s="1157">
        <v>3.2000000000000001E-2</v>
      </c>
    </row>
    <row r="143" spans="1:8" s="1146" customFormat="1" ht="13.5" customHeight="1" x14ac:dyDescent="0.25">
      <c r="A143" s="1861" t="s">
        <v>1055</v>
      </c>
      <c r="B143" s="1861"/>
      <c r="C143" s="1861"/>
      <c r="D143" s="1861"/>
      <c r="E143" s="1861"/>
      <c r="F143" s="1861"/>
      <c r="G143" s="1861"/>
      <c r="H143" s="1861"/>
    </row>
    <row r="144" spans="1:8" s="1146" customFormat="1" ht="13.5" customHeight="1" x14ac:dyDescent="0.25">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25">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25">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25">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25">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25">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25">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25">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25">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25">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25">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25">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25">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25">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25">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25">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25">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25">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25">
      <c r="A162" s="1163"/>
      <c r="B162" s="1163"/>
      <c r="C162" s="1163"/>
      <c r="D162" s="1163"/>
      <c r="E162" s="1163"/>
      <c r="F162" s="1163"/>
      <c r="G162" s="1163"/>
      <c r="H162" s="1163"/>
    </row>
    <row r="163" spans="1:8" s="1146" customFormat="1" ht="13.5" customHeight="1" x14ac:dyDescent="0.25">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25">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25">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25">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25">
      <c r="A167" s="1157" t="s">
        <v>1067</v>
      </c>
      <c r="B167" s="1157">
        <v>45</v>
      </c>
      <c r="C167" s="1161">
        <v>0.84</v>
      </c>
      <c r="D167" s="1162">
        <v>4.7E-2</v>
      </c>
      <c r="E167" s="1157">
        <v>2</v>
      </c>
      <c r="F167" s="1157">
        <v>5</v>
      </c>
      <c r="G167" s="1157">
        <v>0.06</v>
      </c>
      <c r="H167" s="1157">
        <v>6.4000000000000001E-2</v>
      </c>
    </row>
    <row r="168" spans="1:8" s="1146" customFormat="1" ht="13.5" customHeight="1" x14ac:dyDescent="0.25">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25">
      <c r="A169" s="1157" t="s">
        <v>1069</v>
      </c>
      <c r="B169" s="1157">
        <v>25</v>
      </c>
      <c r="C169" s="1161">
        <v>0.84</v>
      </c>
      <c r="D169" s="1162">
        <v>0.04</v>
      </c>
      <c r="E169" s="1157">
        <v>2</v>
      </c>
      <c r="F169" s="1157">
        <v>5</v>
      </c>
      <c r="G169" s="1157">
        <v>4.2999999999999997E-2</v>
      </c>
      <c r="H169" s="1157">
        <v>0.05</v>
      </c>
    </row>
    <row r="170" spans="1:8" s="1146" customFormat="1" ht="13.5" customHeight="1" x14ac:dyDescent="0.25">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25">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25">
      <c r="A172" s="1161" t="s">
        <v>1019</v>
      </c>
      <c r="B172" s="1157">
        <v>11</v>
      </c>
      <c r="C172" s="1161">
        <v>0.84</v>
      </c>
      <c r="D172" s="1162">
        <v>4.8000000000000001E-2</v>
      </c>
      <c r="E172" s="1157">
        <v>2</v>
      </c>
      <c r="F172" s="1157">
        <v>5</v>
      </c>
      <c r="G172" s="1157">
        <v>0.05</v>
      </c>
      <c r="H172" s="1157">
        <v>5.5E-2</v>
      </c>
    </row>
    <row r="173" spans="1:8" s="1146" customFormat="1" ht="13.5" customHeight="1" x14ac:dyDescent="0.25">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25">
      <c r="A174" s="1157" t="s">
        <v>1022</v>
      </c>
      <c r="B174" s="1157">
        <v>75</v>
      </c>
      <c r="C174" s="1161">
        <v>0.84</v>
      </c>
      <c r="D174" s="1162">
        <v>0.04</v>
      </c>
      <c r="E174" s="1157">
        <v>2</v>
      </c>
      <c r="F174" s="1157">
        <v>5</v>
      </c>
      <c r="G174" s="1157">
        <v>4.2000000000000003E-2</v>
      </c>
      <c r="H174" s="1157">
        <v>4.7E-2</v>
      </c>
    </row>
    <row r="175" spans="1:8" s="1146" customFormat="1" ht="13.5" customHeight="1" x14ac:dyDescent="0.25">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25">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25">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25">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25">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25">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25">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25">
      <c r="A182" s="1157" t="s">
        <v>1071</v>
      </c>
      <c r="B182" s="1157">
        <v>400</v>
      </c>
      <c r="C182" s="1161">
        <v>0.84</v>
      </c>
      <c r="D182" s="1162">
        <v>0.11</v>
      </c>
      <c r="E182" s="1157">
        <v>1</v>
      </c>
      <c r="F182" s="1157">
        <v>2</v>
      </c>
      <c r="G182" s="1157">
        <v>0.12</v>
      </c>
      <c r="H182" s="1157">
        <v>0.14000000000000001</v>
      </c>
    </row>
    <row r="183" spans="1:8" s="1146" customFormat="1" ht="13.5" customHeight="1" x14ac:dyDescent="0.25">
      <c r="A183" s="1157" t="s">
        <v>1022</v>
      </c>
      <c r="B183" s="1157">
        <v>300</v>
      </c>
      <c r="C183" s="1161">
        <v>0.84</v>
      </c>
      <c r="D183" s="1162">
        <v>0.09</v>
      </c>
      <c r="E183" s="1157">
        <v>1</v>
      </c>
      <c r="F183" s="1157">
        <v>2</v>
      </c>
      <c r="G183" s="1157">
        <v>0.11</v>
      </c>
      <c r="H183" s="1157">
        <v>0.12</v>
      </c>
    </row>
    <row r="184" spans="1:8" s="1146" customFormat="1" ht="13.5" customHeight="1" x14ac:dyDescent="0.25">
      <c r="A184" s="1161" t="s">
        <v>1019</v>
      </c>
      <c r="B184" s="1157">
        <v>200</v>
      </c>
      <c r="C184" s="1161">
        <v>0.84</v>
      </c>
      <c r="D184" s="1162">
        <v>7.0000000000000007E-2</v>
      </c>
      <c r="E184" s="1157">
        <v>1</v>
      </c>
      <c r="F184" s="1157">
        <v>2</v>
      </c>
      <c r="G184" s="1157">
        <v>0.08</v>
      </c>
      <c r="H184" s="1157">
        <v>0.09</v>
      </c>
    </row>
    <row r="185" spans="1:8" s="1146" customFormat="1" ht="13.5" customHeight="1" x14ac:dyDescent="0.25">
      <c r="A185" s="1861" t="s">
        <v>1072</v>
      </c>
      <c r="B185" s="1861"/>
      <c r="C185" s="1861"/>
      <c r="D185" s="1861"/>
      <c r="E185" s="1861"/>
      <c r="F185" s="1861"/>
      <c r="G185" s="1861"/>
      <c r="H185" s="1861"/>
    </row>
    <row r="186" spans="1:8" s="1146" customFormat="1" ht="13.5" customHeight="1" x14ac:dyDescent="0.25">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25">
      <c r="A187" s="1157" t="s">
        <v>1022</v>
      </c>
      <c r="B187" s="1157">
        <v>800</v>
      </c>
      <c r="C187" s="1161">
        <v>2.2999999999999998</v>
      </c>
      <c r="D187" s="1162">
        <v>0.13</v>
      </c>
      <c r="E187" s="1157">
        <v>10</v>
      </c>
      <c r="F187" s="1157">
        <v>12</v>
      </c>
      <c r="G187" s="1157">
        <v>0.19</v>
      </c>
      <c r="H187" s="1157">
        <v>0.23</v>
      </c>
    </row>
    <row r="188" spans="1:8" s="1146" customFormat="1" ht="13.5" customHeight="1" x14ac:dyDescent="0.25">
      <c r="A188" s="1161" t="s">
        <v>1019</v>
      </c>
      <c r="B188" s="1157">
        <v>600</v>
      </c>
      <c r="C188" s="1161">
        <v>2.2999999999999998</v>
      </c>
      <c r="D188" s="1162">
        <v>0.11</v>
      </c>
      <c r="E188" s="1157">
        <v>10</v>
      </c>
      <c r="F188" s="1157">
        <v>12</v>
      </c>
      <c r="G188" s="1157">
        <v>0.13</v>
      </c>
      <c r="H188" s="1157">
        <v>0.16</v>
      </c>
    </row>
    <row r="189" spans="1:8" s="1146" customFormat="1" ht="13.5" customHeight="1" x14ac:dyDescent="0.25">
      <c r="A189" s="1161" t="s">
        <v>1019</v>
      </c>
      <c r="B189" s="1157">
        <v>400</v>
      </c>
      <c r="C189" s="1161">
        <v>2.2999999999999998</v>
      </c>
      <c r="D189" s="1162">
        <v>0.08</v>
      </c>
      <c r="E189" s="1157">
        <v>10</v>
      </c>
      <c r="F189" s="1157">
        <v>12</v>
      </c>
      <c r="G189" s="1157">
        <v>0.11</v>
      </c>
      <c r="H189" s="1157">
        <v>0.13</v>
      </c>
    </row>
    <row r="190" spans="1:8" s="1146" customFormat="1" ht="13.5" customHeight="1" x14ac:dyDescent="0.25">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25">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25">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25">
      <c r="A193" s="1161" t="s">
        <v>1019</v>
      </c>
      <c r="B193" s="1157">
        <v>400</v>
      </c>
      <c r="C193" s="1161">
        <v>2.2999999999999998</v>
      </c>
      <c r="D193" s="1162">
        <v>0.08</v>
      </c>
      <c r="E193" s="1157">
        <v>10</v>
      </c>
      <c r="F193" s="1157">
        <v>15</v>
      </c>
      <c r="G193" s="1157">
        <v>0.13</v>
      </c>
      <c r="H193" s="1157">
        <v>0.16</v>
      </c>
    </row>
    <row r="194" spans="1:8" s="1146" customFormat="1" ht="13.5" customHeight="1" x14ac:dyDescent="0.25">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25">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25">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25">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25">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25">
      <c r="A199" s="1157" t="s">
        <v>1079</v>
      </c>
      <c r="B199" s="1157">
        <v>1350</v>
      </c>
      <c r="C199" s="1161">
        <v>0.84</v>
      </c>
      <c r="D199" s="1162">
        <v>0.35</v>
      </c>
      <c r="E199" s="1157">
        <v>4</v>
      </c>
      <c r="F199" s="1157">
        <v>6</v>
      </c>
      <c r="G199" s="1157">
        <v>0.5</v>
      </c>
      <c r="H199" s="1157">
        <v>0.56000000000000005</v>
      </c>
    </row>
    <row r="200" spans="1:8" s="1146" customFormat="1" ht="13.5" customHeight="1" x14ac:dyDescent="0.25">
      <c r="A200" s="1157" t="s">
        <v>1022</v>
      </c>
      <c r="B200" s="1157">
        <v>1100</v>
      </c>
      <c r="C200" s="1161">
        <v>0.84</v>
      </c>
      <c r="D200" s="1162">
        <v>0.23</v>
      </c>
      <c r="E200" s="1157">
        <v>4</v>
      </c>
      <c r="F200" s="1157">
        <v>6</v>
      </c>
      <c r="G200" s="1157">
        <v>0.35</v>
      </c>
      <c r="H200" s="1157">
        <v>0.41</v>
      </c>
    </row>
    <row r="201" spans="1:8" s="1146" customFormat="1" ht="13.5" customHeight="1" x14ac:dyDescent="0.25">
      <c r="A201" s="1157" t="s">
        <v>1080</v>
      </c>
      <c r="B201" s="1157">
        <v>1050</v>
      </c>
      <c r="C201" s="1161">
        <v>0.84</v>
      </c>
      <c r="D201" s="1162">
        <v>0.15</v>
      </c>
      <c r="E201" s="1157">
        <v>4</v>
      </c>
      <c r="F201" s="1157">
        <v>6</v>
      </c>
      <c r="G201" s="1157">
        <v>0.34</v>
      </c>
      <c r="H201" s="1157">
        <v>0.36</v>
      </c>
    </row>
    <row r="202" spans="1:8" s="1146" customFormat="1" ht="13.5" customHeight="1" x14ac:dyDescent="0.25">
      <c r="A202" s="1157" t="s">
        <v>1022</v>
      </c>
      <c r="B202" s="1157">
        <v>800</v>
      </c>
      <c r="C202" s="1161">
        <v>0.84</v>
      </c>
      <c r="D202" s="1162">
        <v>0.15</v>
      </c>
      <c r="E202" s="1157">
        <v>4</v>
      </c>
      <c r="F202" s="1157">
        <v>6</v>
      </c>
      <c r="G202" s="1157">
        <v>0.19</v>
      </c>
      <c r="H202" s="1157">
        <v>0.21</v>
      </c>
    </row>
    <row r="203" spans="1:8" s="1146" customFormat="1" ht="13.5" customHeight="1" x14ac:dyDescent="0.25">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25">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25">
      <c r="A205" s="1163"/>
      <c r="B205" s="1163"/>
      <c r="C205" s="1163"/>
      <c r="D205" s="1163"/>
      <c r="E205" s="1163"/>
      <c r="F205" s="1163"/>
      <c r="G205" s="1163"/>
      <c r="H205" s="1163"/>
    </row>
    <row r="206" spans="1:8" s="1146" customFormat="1" ht="13.5" customHeight="1" x14ac:dyDescent="0.25">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25">
      <c r="A207" s="1161" t="s">
        <v>1019</v>
      </c>
      <c r="B207" s="1157">
        <v>200</v>
      </c>
      <c r="C207" s="1161">
        <v>1.68</v>
      </c>
      <c r="D207" s="1162">
        <v>7.5999999999999998E-2</v>
      </c>
      <c r="E207" s="1157">
        <v>1</v>
      </c>
      <c r="F207" s="1157">
        <v>2</v>
      </c>
      <c r="G207" s="1157">
        <v>7.8E-2</v>
      </c>
      <c r="H207" s="1157">
        <v>0.09</v>
      </c>
    </row>
    <row r="208" spans="1:8" s="1146" customFormat="1" ht="13.5" customHeight="1" x14ac:dyDescent="0.25">
      <c r="A208" s="1861" t="s">
        <v>1082</v>
      </c>
      <c r="B208" s="1861"/>
      <c r="C208" s="1861"/>
      <c r="D208" s="1861"/>
      <c r="E208" s="1861"/>
      <c r="F208" s="1861"/>
      <c r="G208" s="1861"/>
      <c r="H208" s="1861"/>
    </row>
    <row r="209" spans="1:8" s="1146" customFormat="1" ht="13.5" customHeight="1" x14ac:dyDescent="0.25">
      <c r="A209" s="1157" t="s">
        <v>1083</v>
      </c>
      <c r="B209" s="1157">
        <v>600</v>
      </c>
      <c r="C209" s="1161">
        <v>0.84</v>
      </c>
      <c r="D209" s="1162">
        <v>0.14000000000000001</v>
      </c>
      <c r="E209" s="1157">
        <v>2</v>
      </c>
      <c r="F209" s="1157">
        <v>3</v>
      </c>
      <c r="G209" s="1157">
        <v>0.17</v>
      </c>
      <c r="H209" s="1157">
        <v>0.19</v>
      </c>
    </row>
    <row r="210" spans="1:8" s="1146" customFormat="1" ht="13.5" customHeight="1" x14ac:dyDescent="0.25">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25">
      <c r="A211" s="1161" t="s">
        <v>1019</v>
      </c>
      <c r="B211" s="1157">
        <v>450</v>
      </c>
      <c r="C211" s="1161">
        <v>0.84</v>
      </c>
      <c r="D211" s="1162">
        <v>0.13</v>
      </c>
      <c r="E211" s="1157">
        <v>2</v>
      </c>
      <c r="F211" s="1157">
        <v>3</v>
      </c>
      <c r="G211" s="1157">
        <v>0.14000000000000001</v>
      </c>
      <c r="H211" s="1157">
        <v>0.155</v>
      </c>
    </row>
    <row r="212" spans="1:8" s="1146" customFormat="1" ht="13.5" customHeight="1" x14ac:dyDescent="0.25">
      <c r="A212" s="1161" t="s">
        <v>1019</v>
      </c>
      <c r="B212" s="1157">
        <v>400</v>
      </c>
      <c r="C212" s="1161">
        <v>0.84</v>
      </c>
      <c r="D212" s="1162">
        <v>0.12</v>
      </c>
      <c r="E212" s="1157">
        <v>2</v>
      </c>
      <c r="F212" s="1157">
        <v>3</v>
      </c>
      <c r="G212" s="1157">
        <v>0.13</v>
      </c>
      <c r="H212" s="1157">
        <v>0.14499999999999999</v>
      </c>
    </row>
    <row r="213" spans="1:8" s="1146" customFormat="1" ht="13.5" customHeight="1" x14ac:dyDescent="0.25">
      <c r="A213" s="1161" t="s">
        <v>1019</v>
      </c>
      <c r="B213" s="1164">
        <v>350</v>
      </c>
      <c r="C213" s="1161">
        <v>0.84</v>
      </c>
      <c r="D213" s="1162">
        <v>0.115</v>
      </c>
      <c r="E213" s="1157">
        <v>2</v>
      </c>
      <c r="F213" s="1157">
        <v>3</v>
      </c>
      <c r="G213" s="1157">
        <v>0.125</v>
      </c>
      <c r="H213" s="1157">
        <v>0.14000000000000001</v>
      </c>
    </row>
    <row r="214" spans="1:8" s="1146" customFormat="1" ht="13.5" customHeight="1" x14ac:dyDescent="0.25">
      <c r="A214" s="1161" t="s">
        <v>1019</v>
      </c>
      <c r="B214" s="1164">
        <v>300</v>
      </c>
      <c r="C214" s="1161">
        <v>0.84</v>
      </c>
      <c r="D214" s="1162">
        <v>0.108</v>
      </c>
      <c r="E214" s="1157">
        <v>2</v>
      </c>
      <c r="F214" s="1157">
        <v>3</v>
      </c>
      <c r="G214" s="1157">
        <v>0.12</v>
      </c>
      <c r="H214" s="1157">
        <v>0.13</v>
      </c>
    </row>
    <row r="215" spans="1:8" s="1146" customFormat="1" ht="13.5" customHeight="1" x14ac:dyDescent="0.25">
      <c r="A215" s="1157" t="s">
        <v>1083</v>
      </c>
      <c r="B215" s="1157">
        <v>250</v>
      </c>
      <c r="C215" s="1161">
        <v>0.84</v>
      </c>
      <c r="D215" s="1162">
        <v>9.9000000000000005E-2</v>
      </c>
      <c r="E215" s="1157">
        <v>2</v>
      </c>
      <c r="F215" s="1157">
        <v>3</v>
      </c>
      <c r="G215" s="1157">
        <v>0.11</v>
      </c>
      <c r="H215" s="1157">
        <v>0.12</v>
      </c>
    </row>
    <row r="216" spans="1:8" s="1146" customFormat="1" ht="13.5" customHeight="1" x14ac:dyDescent="0.25">
      <c r="A216" s="1157" t="s">
        <v>1084</v>
      </c>
      <c r="B216" s="1164">
        <v>700</v>
      </c>
      <c r="C216" s="1161">
        <v>0.84</v>
      </c>
      <c r="D216" s="1162">
        <v>0.16</v>
      </c>
      <c r="E216" s="1157">
        <v>2</v>
      </c>
      <c r="F216" s="1157">
        <v>4</v>
      </c>
      <c r="G216" s="1157">
        <v>0.18</v>
      </c>
      <c r="H216" s="1157">
        <v>0.21</v>
      </c>
    </row>
    <row r="217" spans="1:8" s="1146" customFormat="1" ht="13.5" customHeight="1" x14ac:dyDescent="0.25">
      <c r="A217" s="1157" t="s">
        <v>1022</v>
      </c>
      <c r="B217" s="1157">
        <v>600</v>
      </c>
      <c r="C217" s="1161">
        <v>0.84</v>
      </c>
      <c r="D217" s="1162">
        <v>0.13</v>
      </c>
      <c r="E217" s="1157">
        <v>2</v>
      </c>
      <c r="F217" s="1157">
        <v>4</v>
      </c>
      <c r="G217" s="1157">
        <v>0.16</v>
      </c>
      <c r="H217" s="1157">
        <v>0.19</v>
      </c>
    </row>
    <row r="218" spans="1:8" s="1146" customFormat="1" ht="13.5" customHeight="1" x14ac:dyDescent="0.25">
      <c r="A218" s="1161" t="s">
        <v>1019</v>
      </c>
      <c r="B218" s="1164">
        <v>500</v>
      </c>
      <c r="C218" s="1161">
        <v>0.84</v>
      </c>
      <c r="D218" s="1162">
        <v>0.12</v>
      </c>
      <c r="E218" s="1157">
        <v>2</v>
      </c>
      <c r="F218" s="1157">
        <v>4</v>
      </c>
      <c r="G218" s="1157">
        <v>0.15</v>
      </c>
      <c r="H218" s="1157">
        <v>0.17499999999999999</v>
      </c>
    </row>
    <row r="219" spans="1:8" s="1146" customFormat="1" ht="13.5" customHeight="1" x14ac:dyDescent="0.25">
      <c r="A219" s="1161" t="s">
        <v>1019</v>
      </c>
      <c r="B219" s="1157">
        <v>450</v>
      </c>
      <c r="C219" s="1161">
        <v>0.84</v>
      </c>
      <c r="D219" s="1162">
        <v>0.11</v>
      </c>
      <c r="E219" s="1157">
        <v>2</v>
      </c>
      <c r="F219" s="1157">
        <v>4</v>
      </c>
      <c r="G219" s="1157">
        <v>0.14000000000000001</v>
      </c>
      <c r="H219" s="1157">
        <v>0.16</v>
      </c>
    </row>
    <row r="220" spans="1:8" s="1146" customFormat="1" ht="13.5" customHeight="1" x14ac:dyDescent="0.25">
      <c r="A220" s="1161" t="s">
        <v>1019</v>
      </c>
      <c r="B220" s="1157">
        <v>400</v>
      </c>
      <c r="C220" s="1161">
        <v>0.84</v>
      </c>
      <c r="D220" s="1162">
        <v>0.11</v>
      </c>
      <c r="E220" s="1157">
        <v>2</v>
      </c>
      <c r="F220" s="1157">
        <v>4</v>
      </c>
      <c r="G220" s="1157">
        <v>0.13</v>
      </c>
      <c r="H220" s="1157">
        <v>0.15</v>
      </c>
    </row>
    <row r="221" spans="1:8" s="1146" customFormat="1" ht="13.5" customHeight="1" x14ac:dyDescent="0.25">
      <c r="A221" s="1157" t="s">
        <v>1085</v>
      </c>
      <c r="B221" s="1157">
        <v>1000</v>
      </c>
      <c r="C221" s="1161">
        <v>0.84</v>
      </c>
      <c r="D221" s="1162">
        <v>0.21</v>
      </c>
      <c r="E221" s="1157">
        <v>2</v>
      </c>
      <c r="F221" s="1157">
        <v>3</v>
      </c>
      <c r="G221" s="1157">
        <v>0.24</v>
      </c>
      <c r="H221" s="1157">
        <v>0.31</v>
      </c>
    </row>
    <row r="222" spans="1:8" s="1146" customFormat="1" ht="13.5" customHeight="1" x14ac:dyDescent="0.25">
      <c r="A222" s="1157" t="s">
        <v>1086</v>
      </c>
      <c r="B222" s="1164">
        <v>900</v>
      </c>
      <c r="C222" s="1161">
        <v>0.84</v>
      </c>
      <c r="D222" s="1162">
        <v>0.19</v>
      </c>
      <c r="E222" s="1157">
        <v>2</v>
      </c>
      <c r="F222" s="1157">
        <v>3</v>
      </c>
      <c r="G222" s="1157">
        <v>0.23</v>
      </c>
      <c r="H222" s="1157">
        <v>0.3</v>
      </c>
    </row>
    <row r="223" spans="1:8" s="1146" customFormat="1" ht="13.5" customHeight="1" x14ac:dyDescent="0.25">
      <c r="A223" s="1157" t="s">
        <v>1022</v>
      </c>
      <c r="B223" s="1164">
        <v>800</v>
      </c>
      <c r="C223" s="1161">
        <v>0.84</v>
      </c>
      <c r="D223" s="1162">
        <v>0.18</v>
      </c>
      <c r="E223" s="1157">
        <v>2</v>
      </c>
      <c r="F223" s="1157">
        <v>3</v>
      </c>
      <c r="G223" s="1157">
        <v>0.21</v>
      </c>
      <c r="H223" s="1157">
        <v>0.26</v>
      </c>
    </row>
    <row r="224" spans="1:8" s="1146" customFormat="1" ht="13.5" customHeight="1" x14ac:dyDescent="0.25">
      <c r="A224" s="1161" t="s">
        <v>1019</v>
      </c>
      <c r="B224" s="1157">
        <v>700</v>
      </c>
      <c r="C224" s="1161">
        <v>0.84</v>
      </c>
      <c r="D224" s="1162">
        <v>0.16</v>
      </c>
      <c r="E224" s="1157">
        <v>2</v>
      </c>
      <c r="F224" s="1157">
        <v>3</v>
      </c>
      <c r="G224" s="1157">
        <v>0.19</v>
      </c>
      <c r="H224" s="1157">
        <v>0.23</v>
      </c>
    </row>
    <row r="225" spans="1:8" s="1146" customFormat="1" ht="13.5" customHeight="1" x14ac:dyDescent="0.25">
      <c r="A225" s="1161" t="s">
        <v>1019</v>
      </c>
      <c r="B225" s="1157">
        <v>600</v>
      </c>
      <c r="C225" s="1161">
        <v>0.84</v>
      </c>
      <c r="D225" s="1162">
        <v>0.15</v>
      </c>
      <c r="E225" s="1157">
        <v>2</v>
      </c>
      <c r="F225" s="1157">
        <v>3</v>
      </c>
      <c r="G225" s="1157">
        <v>0.18</v>
      </c>
      <c r="H225" s="1157">
        <v>0.21</v>
      </c>
    </row>
    <row r="226" spans="1:8" s="1146" customFormat="1" ht="13.5" customHeight="1" x14ac:dyDescent="0.25">
      <c r="A226" s="1161" t="s">
        <v>1019</v>
      </c>
      <c r="B226" s="1164">
        <v>500</v>
      </c>
      <c r="C226" s="1161">
        <v>0.84</v>
      </c>
      <c r="D226" s="1162">
        <v>0.14000000000000001</v>
      </c>
      <c r="E226" s="1157">
        <v>2</v>
      </c>
      <c r="F226" s="1157">
        <v>3</v>
      </c>
      <c r="G226" s="1157">
        <v>0.16</v>
      </c>
      <c r="H226" s="1157">
        <v>0.19</v>
      </c>
    </row>
    <row r="227" spans="1:8" s="1146" customFormat="1" ht="13.5" customHeight="1" x14ac:dyDescent="0.25">
      <c r="A227" s="1161" t="s">
        <v>1019</v>
      </c>
      <c r="B227" s="1157">
        <v>450</v>
      </c>
      <c r="C227" s="1161">
        <v>0.84</v>
      </c>
      <c r="D227" s="1162">
        <v>0.13</v>
      </c>
      <c r="E227" s="1157">
        <v>2</v>
      </c>
      <c r="F227" s="1157">
        <v>3</v>
      </c>
      <c r="G227" s="1157">
        <v>0.15</v>
      </c>
      <c r="H227" s="1157">
        <v>0.17</v>
      </c>
    </row>
    <row r="228" spans="1:8" s="1146" customFormat="1" ht="13.5" customHeight="1" x14ac:dyDescent="0.25">
      <c r="A228" s="1161" t="s">
        <v>1019</v>
      </c>
      <c r="B228" s="1157">
        <v>400</v>
      </c>
      <c r="C228" s="1161">
        <v>0.84</v>
      </c>
      <c r="D228" s="1162">
        <v>0.122</v>
      </c>
      <c r="E228" s="1157">
        <v>2</v>
      </c>
      <c r="F228" s="1157">
        <v>3</v>
      </c>
      <c r="G228" s="1157">
        <v>0.14000000000000001</v>
      </c>
      <c r="H228" s="1157">
        <v>0.16</v>
      </c>
    </row>
    <row r="229" spans="1:8" s="1146" customFormat="1" ht="13.5" customHeight="1" x14ac:dyDescent="0.25">
      <c r="A229" s="1157" t="s">
        <v>1087</v>
      </c>
      <c r="B229" s="1164">
        <v>500</v>
      </c>
      <c r="C229" s="1161">
        <v>0.84</v>
      </c>
      <c r="D229" s="1162">
        <v>0.09</v>
      </c>
      <c r="E229" s="1157">
        <v>1</v>
      </c>
      <c r="F229" s="1157">
        <v>2</v>
      </c>
      <c r="G229" s="1157">
        <v>0.1</v>
      </c>
      <c r="H229" s="1157">
        <v>0.11</v>
      </c>
    </row>
    <row r="230" spans="1:8" s="1146" customFormat="1" ht="13.5" customHeight="1" x14ac:dyDescent="0.25">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25">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25">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25">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25">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25">
      <c r="A235" s="1161" t="s">
        <v>1019</v>
      </c>
      <c r="B235" s="1164">
        <v>100</v>
      </c>
      <c r="C235" s="1161">
        <v>0.84</v>
      </c>
      <c r="D235" s="1162">
        <v>5.5E-2</v>
      </c>
      <c r="E235" s="1157">
        <v>1</v>
      </c>
      <c r="F235" s="1157">
        <v>3</v>
      </c>
      <c r="G235" s="1157">
        <v>6.7000000000000004E-2</v>
      </c>
      <c r="H235" s="1157">
        <v>0.08</v>
      </c>
    </row>
    <row r="236" spans="1:8" s="1146" customFormat="1" ht="13.5" customHeight="1" x14ac:dyDescent="0.25">
      <c r="A236" s="1157" t="s">
        <v>1089</v>
      </c>
      <c r="B236" s="1157">
        <v>1600</v>
      </c>
      <c r="C236" s="1161">
        <v>0.84</v>
      </c>
      <c r="D236" s="1162">
        <v>0.35</v>
      </c>
      <c r="E236" s="1157">
        <v>1</v>
      </c>
      <c r="F236" s="1157">
        <v>2</v>
      </c>
      <c r="G236" s="1157">
        <v>0.47</v>
      </c>
      <c r="H236" s="1157">
        <v>0.57999999999999996</v>
      </c>
    </row>
    <row r="237" spans="1:8" s="1146" customFormat="1" ht="13.5" customHeight="1" x14ac:dyDescent="0.25">
      <c r="A237" s="1861" t="s">
        <v>1090</v>
      </c>
      <c r="B237" s="1861"/>
      <c r="C237" s="1861"/>
      <c r="D237" s="1861"/>
      <c r="E237" s="1861"/>
      <c r="F237" s="1861"/>
      <c r="G237" s="1861"/>
      <c r="H237" s="1861"/>
    </row>
    <row r="238" spans="1:8" s="1146" customFormat="1" ht="13.5" customHeight="1" x14ac:dyDescent="0.25">
      <c r="A238" s="1157" t="s">
        <v>1091</v>
      </c>
      <c r="B238" s="1157">
        <v>1400</v>
      </c>
      <c r="C238" s="1161">
        <v>0.84</v>
      </c>
      <c r="D238" s="1162">
        <v>0.41</v>
      </c>
      <c r="E238" s="1157">
        <v>2</v>
      </c>
      <c r="F238" s="1157">
        <v>4</v>
      </c>
      <c r="G238" s="1157">
        <v>0.52</v>
      </c>
      <c r="H238" s="1157">
        <v>0.64</v>
      </c>
    </row>
    <row r="239" spans="1:8" s="1146" customFormat="1" ht="13.5" customHeight="1" x14ac:dyDescent="0.25">
      <c r="A239" s="1157" t="s">
        <v>1022</v>
      </c>
      <c r="B239" s="1157">
        <v>1200</v>
      </c>
      <c r="C239" s="1161">
        <v>0.84</v>
      </c>
      <c r="D239" s="1162">
        <v>0.35</v>
      </c>
      <c r="E239" s="1157">
        <v>2</v>
      </c>
      <c r="F239" s="1157">
        <v>4</v>
      </c>
      <c r="G239" s="1157">
        <v>0.47</v>
      </c>
      <c r="H239" s="1157">
        <v>0.57999999999999996</v>
      </c>
    </row>
    <row r="240" spans="1:8" s="1146" customFormat="1" ht="13.5" customHeight="1" x14ac:dyDescent="0.25">
      <c r="A240" s="1157" t="s">
        <v>1092</v>
      </c>
      <c r="B240" s="1157">
        <v>1000</v>
      </c>
      <c r="C240" s="1161">
        <v>0.84</v>
      </c>
      <c r="D240" s="1162">
        <v>0.21</v>
      </c>
      <c r="E240" s="1157">
        <v>7</v>
      </c>
      <c r="F240" s="1157">
        <v>12</v>
      </c>
      <c r="G240" s="1157">
        <v>0.26</v>
      </c>
      <c r="H240" s="1157">
        <v>0.3</v>
      </c>
    </row>
    <row r="241" spans="1:8" s="1146" customFormat="1" ht="13.5" customHeight="1" x14ac:dyDescent="0.25">
      <c r="A241" s="1157" t="s">
        <v>1022</v>
      </c>
      <c r="B241" s="1164">
        <v>800</v>
      </c>
      <c r="C241" s="1161">
        <v>0.84</v>
      </c>
      <c r="D241" s="1162">
        <v>0.16</v>
      </c>
      <c r="E241" s="1157">
        <v>7</v>
      </c>
      <c r="F241" s="1157">
        <v>12</v>
      </c>
      <c r="G241" s="1157">
        <v>0.21</v>
      </c>
      <c r="H241" s="1157">
        <v>0.26</v>
      </c>
    </row>
    <row r="242" spans="1:8" s="1146" customFormat="1" ht="13.5" customHeight="1" x14ac:dyDescent="0.25">
      <c r="A242" s="1157" t="s">
        <v>1093</v>
      </c>
      <c r="B242" s="1157">
        <v>600</v>
      </c>
      <c r="C242" s="1161">
        <v>0.84</v>
      </c>
      <c r="D242" s="1162">
        <v>0.14000000000000001</v>
      </c>
      <c r="E242" s="1157">
        <v>10</v>
      </c>
      <c r="F242" s="1157">
        <v>15</v>
      </c>
      <c r="G242" s="1157">
        <v>0.19</v>
      </c>
      <c r="H242" s="1157">
        <v>0.23</v>
      </c>
    </row>
    <row r="243" spans="1:8" s="1146" customFormat="1" ht="13.5" customHeight="1" x14ac:dyDescent="0.25">
      <c r="A243" s="1157" t="s">
        <v>1094</v>
      </c>
      <c r="B243" s="1164">
        <v>500</v>
      </c>
      <c r="C243" s="1161">
        <v>0.84</v>
      </c>
      <c r="D243" s="1162">
        <v>0.12</v>
      </c>
      <c r="E243" s="1157">
        <v>6</v>
      </c>
      <c r="F243" s="1157">
        <v>10</v>
      </c>
      <c r="G243" s="1157">
        <v>0.15</v>
      </c>
      <c r="H243" s="1157">
        <v>0.19</v>
      </c>
    </row>
    <row r="244" spans="1:8" s="1146" customFormat="1" ht="13.5" customHeight="1" x14ac:dyDescent="0.25">
      <c r="A244" s="1157" t="s">
        <v>1022</v>
      </c>
      <c r="B244" s="1157">
        <v>400</v>
      </c>
      <c r="C244" s="1161">
        <v>0.84</v>
      </c>
      <c r="D244" s="1162">
        <v>0.09</v>
      </c>
      <c r="E244" s="1157">
        <v>6</v>
      </c>
      <c r="F244" s="1157">
        <v>10</v>
      </c>
      <c r="G244" s="1157">
        <v>0.13</v>
      </c>
      <c r="H244" s="1157">
        <v>0.15</v>
      </c>
    </row>
    <row r="245" spans="1:8" s="1146" customFormat="1" ht="13.5" customHeight="1" x14ac:dyDescent="0.25">
      <c r="A245" s="1862" t="s">
        <v>1095</v>
      </c>
      <c r="B245" s="1862"/>
      <c r="C245" s="1862"/>
      <c r="D245" s="1862"/>
      <c r="E245" s="1862"/>
      <c r="F245" s="1862"/>
      <c r="G245" s="1862"/>
      <c r="H245" s="1862"/>
    </row>
    <row r="246" spans="1:8" s="1146" customFormat="1" ht="13.5" customHeight="1" x14ac:dyDescent="0.25">
      <c r="A246" s="1865" t="s">
        <v>1096</v>
      </c>
      <c r="B246" s="1865"/>
      <c r="C246" s="1865"/>
      <c r="D246" s="1865"/>
      <c r="E246" s="1865"/>
      <c r="F246" s="1865"/>
      <c r="G246" s="1865"/>
      <c r="H246" s="1865"/>
    </row>
    <row r="247" spans="1:8" s="1146" customFormat="1" ht="13.5" customHeight="1" x14ac:dyDescent="0.25">
      <c r="A247" s="1157" t="s">
        <v>1097</v>
      </c>
      <c r="B247" s="1157">
        <v>1800</v>
      </c>
      <c r="C247" s="1161">
        <v>0.84</v>
      </c>
      <c r="D247" s="1162">
        <v>0.64</v>
      </c>
      <c r="E247" s="1157">
        <v>7</v>
      </c>
      <c r="F247" s="1157">
        <v>10</v>
      </c>
      <c r="G247" s="1157">
        <v>0.87</v>
      </c>
      <c r="H247" s="1157">
        <v>0.99</v>
      </c>
    </row>
    <row r="248" spans="1:8" s="1146" customFormat="1" ht="13.5" customHeight="1" x14ac:dyDescent="0.25">
      <c r="A248" s="1165" t="s">
        <v>1019</v>
      </c>
      <c r="B248" s="1157">
        <v>1600</v>
      </c>
      <c r="C248" s="1161">
        <v>0.84</v>
      </c>
      <c r="D248" s="1162">
        <v>0.52</v>
      </c>
      <c r="E248" s="1157">
        <v>7</v>
      </c>
      <c r="F248" s="1157">
        <v>10</v>
      </c>
      <c r="G248" s="1157">
        <v>0.7</v>
      </c>
      <c r="H248" s="1157">
        <v>0.81</v>
      </c>
    </row>
    <row r="249" spans="1:8" s="1146" customFormat="1" ht="13.5" customHeight="1" x14ac:dyDescent="0.25">
      <c r="A249" s="1165" t="s">
        <v>1019</v>
      </c>
      <c r="B249" s="1157">
        <v>1400</v>
      </c>
      <c r="C249" s="1161">
        <v>0.84</v>
      </c>
      <c r="D249" s="1162">
        <v>0.41</v>
      </c>
      <c r="E249" s="1157">
        <v>7</v>
      </c>
      <c r="F249" s="1157">
        <v>10</v>
      </c>
      <c r="G249" s="1157">
        <v>0.52</v>
      </c>
      <c r="H249" s="1157">
        <v>0.57999999999999996</v>
      </c>
    </row>
    <row r="250" spans="1:8" s="1146" customFormat="1" ht="13.5" customHeight="1" x14ac:dyDescent="0.25">
      <c r="A250" s="1165" t="s">
        <v>1019</v>
      </c>
      <c r="B250" s="1157">
        <v>1200</v>
      </c>
      <c r="C250" s="1161">
        <v>0.84</v>
      </c>
      <c r="D250" s="1162">
        <v>0.28999999999999998</v>
      </c>
      <c r="E250" s="1157">
        <v>7</v>
      </c>
      <c r="F250" s="1157">
        <v>10</v>
      </c>
      <c r="G250" s="1157">
        <v>0.41</v>
      </c>
      <c r="H250" s="1157">
        <v>0.47</v>
      </c>
    </row>
    <row r="251" spans="1:8" s="1146" customFormat="1" ht="13.5" customHeight="1" x14ac:dyDescent="0.25">
      <c r="A251" s="1157" t="s">
        <v>1098</v>
      </c>
      <c r="B251" s="1157">
        <v>1600</v>
      </c>
      <c r="C251" s="1161">
        <v>0.84</v>
      </c>
      <c r="D251" s="1162">
        <v>0.52</v>
      </c>
      <c r="E251" s="1157">
        <v>4</v>
      </c>
      <c r="F251" s="1157">
        <v>6</v>
      </c>
      <c r="G251" s="1157">
        <v>0.62</v>
      </c>
      <c r="H251" s="1157">
        <v>0.68</v>
      </c>
    </row>
    <row r="252" spans="1:8" s="1146" customFormat="1" ht="13.5" customHeight="1" x14ac:dyDescent="0.25">
      <c r="A252" s="1165" t="s">
        <v>1019</v>
      </c>
      <c r="B252" s="1157">
        <v>1400</v>
      </c>
      <c r="C252" s="1161">
        <v>0.84</v>
      </c>
      <c r="D252" s="1162">
        <v>0.42</v>
      </c>
      <c r="E252" s="1157">
        <v>4</v>
      </c>
      <c r="F252" s="1157">
        <v>6</v>
      </c>
      <c r="G252" s="1157">
        <v>0.49</v>
      </c>
      <c r="H252" s="1157">
        <v>0.54</v>
      </c>
    </row>
    <row r="253" spans="1:8" s="1146" customFormat="1" ht="13.5" customHeight="1" x14ac:dyDescent="0.25">
      <c r="A253" s="1165" t="s">
        <v>1019</v>
      </c>
      <c r="B253" s="1157">
        <v>1200</v>
      </c>
      <c r="C253" s="1161">
        <v>0.84</v>
      </c>
      <c r="D253" s="1162">
        <v>0.34</v>
      </c>
      <c r="E253" s="1157">
        <v>4</v>
      </c>
      <c r="F253" s="1157">
        <v>6</v>
      </c>
      <c r="G253" s="1157">
        <v>0.4</v>
      </c>
      <c r="H253" s="1157">
        <v>0.43</v>
      </c>
    </row>
    <row r="254" spans="1:8" s="1146" customFormat="1" ht="13.5" customHeight="1" x14ac:dyDescent="0.25">
      <c r="A254" s="1165" t="s">
        <v>1019</v>
      </c>
      <c r="B254" s="1157">
        <v>1000</v>
      </c>
      <c r="C254" s="1161">
        <v>0.84</v>
      </c>
      <c r="D254" s="1162">
        <v>0.26</v>
      </c>
      <c r="E254" s="1157">
        <v>4</v>
      </c>
      <c r="F254" s="1157">
        <v>6</v>
      </c>
      <c r="G254" s="1157">
        <v>0.3</v>
      </c>
      <c r="H254" s="1157">
        <v>0.34</v>
      </c>
    </row>
    <row r="255" spans="1:8" s="1146" customFormat="1" ht="13.5" customHeight="1" x14ac:dyDescent="0.25">
      <c r="A255" s="1165" t="s">
        <v>1019</v>
      </c>
      <c r="B255" s="1164">
        <v>800</v>
      </c>
      <c r="C255" s="1161">
        <v>0.84</v>
      </c>
      <c r="D255" s="1162">
        <v>0.19</v>
      </c>
      <c r="E255" s="1157">
        <v>4</v>
      </c>
      <c r="F255" s="1157">
        <v>6</v>
      </c>
      <c r="G255" s="1157">
        <v>0.22</v>
      </c>
      <c r="H255" s="1157">
        <v>0.26</v>
      </c>
    </row>
    <row r="256" spans="1:8" s="1146" customFormat="1" ht="13.5" customHeight="1" x14ac:dyDescent="0.25">
      <c r="A256" s="1157" t="s">
        <v>1099</v>
      </c>
      <c r="B256" s="1157">
        <v>1600</v>
      </c>
      <c r="C256" s="1161">
        <v>0.84</v>
      </c>
      <c r="D256" s="1162">
        <v>0.52</v>
      </c>
      <c r="E256" s="1157">
        <v>7</v>
      </c>
      <c r="F256" s="1157">
        <v>10</v>
      </c>
      <c r="G256" s="1157">
        <v>0.64</v>
      </c>
      <c r="H256" s="1157">
        <v>0.7</v>
      </c>
    </row>
    <row r="257" spans="1:8" s="1146" customFormat="1" ht="13.5" customHeight="1" x14ac:dyDescent="0.25">
      <c r="A257" s="1157" t="s">
        <v>1022</v>
      </c>
      <c r="B257" s="1157">
        <v>1400</v>
      </c>
      <c r="C257" s="1161">
        <v>0.84</v>
      </c>
      <c r="D257" s="1162">
        <v>0.41</v>
      </c>
      <c r="E257" s="1157">
        <v>7</v>
      </c>
      <c r="F257" s="1157">
        <v>10</v>
      </c>
      <c r="G257" s="1157">
        <v>0.52</v>
      </c>
      <c r="H257" s="1157">
        <v>0.57999999999999996</v>
      </c>
    </row>
    <row r="258" spans="1:8" s="1146" customFormat="1" ht="13.5" customHeight="1" x14ac:dyDescent="0.25">
      <c r="A258" s="1165" t="s">
        <v>1019</v>
      </c>
      <c r="B258" s="1157">
        <v>1200</v>
      </c>
      <c r="C258" s="1161">
        <v>0.84</v>
      </c>
      <c r="D258" s="1157">
        <v>0.33</v>
      </c>
      <c r="E258" s="1157">
        <v>7</v>
      </c>
      <c r="F258" s="1157">
        <v>10</v>
      </c>
      <c r="G258" s="1157">
        <v>0.41</v>
      </c>
      <c r="H258" s="1157">
        <v>0.47</v>
      </c>
    </row>
    <row r="259" spans="1:8" s="1146" customFormat="1" ht="13.5" customHeight="1" x14ac:dyDescent="0.25">
      <c r="A259" s="1165" t="s">
        <v>1019</v>
      </c>
      <c r="B259" s="1157">
        <v>1000</v>
      </c>
      <c r="C259" s="1161">
        <v>0.84</v>
      </c>
      <c r="D259" s="1157">
        <v>0.24</v>
      </c>
      <c r="E259" s="1157">
        <v>7</v>
      </c>
      <c r="F259" s="1157">
        <v>10</v>
      </c>
      <c r="G259" s="1157">
        <v>0.28999999999999998</v>
      </c>
      <c r="H259" s="1157">
        <v>0.35</v>
      </c>
    </row>
    <row r="260" spans="1:8" s="1146" customFormat="1" ht="13.5" customHeight="1" x14ac:dyDescent="0.25">
      <c r="A260" s="1165" t="s">
        <v>1019</v>
      </c>
      <c r="B260" s="1164">
        <v>800</v>
      </c>
      <c r="C260" s="1161">
        <v>0.84</v>
      </c>
      <c r="D260" s="1157">
        <v>0.2</v>
      </c>
      <c r="E260" s="1157">
        <v>7</v>
      </c>
      <c r="F260" s="1157">
        <v>10</v>
      </c>
      <c r="G260" s="1157">
        <v>0.23</v>
      </c>
      <c r="H260" s="1157">
        <v>0.28999999999999998</v>
      </c>
    </row>
    <row r="261" spans="1:8" s="1146" customFormat="1" ht="13.5" customHeight="1" x14ac:dyDescent="0.25">
      <c r="A261" s="1861" t="s">
        <v>1100</v>
      </c>
      <c r="B261" s="1861"/>
      <c r="C261" s="1861"/>
      <c r="D261" s="1861"/>
      <c r="E261" s="1861"/>
      <c r="F261" s="1861"/>
      <c r="G261" s="1861"/>
      <c r="H261" s="1861"/>
    </row>
    <row r="262" spans="1:8" s="1146" customFormat="1" ht="13.5" customHeight="1" x14ac:dyDescent="0.25">
      <c r="A262" s="1159" t="s">
        <v>1101</v>
      </c>
      <c r="B262" s="1157">
        <v>1800</v>
      </c>
      <c r="C262" s="1161">
        <v>0.84</v>
      </c>
      <c r="D262" s="1157">
        <v>0.66</v>
      </c>
      <c r="E262" s="1157">
        <v>5</v>
      </c>
      <c r="F262" s="1157">
        <v>10</v>
      </c>
      <c r="G262" s="1157">
        <v>0.8</v>
      </c>
      <c r="H262" s="1157">
        <v>0.92</v>
      </c>
    </row>
    <row r="263" spans="1:8" s="1146" customFormat="1" ht="13.5" customHeight="1" x14ac:dyDescent="0.25">
      <c r="A263" s="1159" t="s">
        <v>1101</v>
      </c>
      <c r="B263" s="1157">
        <v>1600</v>
      </c>
      <c r="C263" s="1161">
        <v>0.84</v>
      </c>
      <c r="D263" s="1157">
        <v>0.57999999999999996</v>
      </c>
      <c r="E263" s="1157">
        <v>5</v>
      </c>
      <c r="F263" s="1157">
        <v>10</v>
      </c>
      <c r="G263" s="1157">
        <v>0.67</v>
      </c>
      <c r="H263" s="1157">
        <v>0.79</v>
      </c>
    </row>
    <row r="264" spans="1:8" s="1146" customFormat="1" ht="13.5" customHeight="1" x14ac:dyDescent="0.25">
      <c r="A264" s="1159" t="s">
        <v>1101</v>
      </c>
      <c r="B264" s="1157">
        <v>1400</v>
      </c>
      <c r="C264" s="1161">
        <v>0.84</v>
      </c>
      <c r="D264" s="1157">
        <v>0.47</v>
      </c>
      <c r="E264" s="1157">
        <v>5</v>
      </c>
      <c r="F264" s="1157">
        <v>10</v>
      </c>
      <c r="G264" s="1157">
        <v>0.56000000000000005</v>
      </c>
      <c r="H264" s="1157">
        <v>0.65</v>
      </c>
    </row>
    <row r="265" spans="1:8" s="1146" customFormat="1" ht="13.5" customHeight="1" x14ac:dyDescent="0.25">
      <c r="A265" s="1159" t="s">
        <v>1101</v>
      </c>
      <c r="B265" s="1157">
        <v>1200</v>
      </c>
      <c r="C265" s="1161">
        <v>0.84</v>
      </c>
      <c r="D265" s="1157">
        <v>0.36</v>
      </c>
      <c r="E265" s="1157">
        <v>5</v>
      </c>
      <c r="F265" s="1157">
        <v>10</v>
      </c>
      <c r="G265" s="1157">
        <v>0.44</v>
      </c>
      <c r="H265" s="1157">
        <v>0.52</v>
      </c>
    </row>
    <row r="266" spans="1:8" s="1146" customFormat="1" ht="13.5" customHeight="1" x14ac:dyDescent="0.25">
      <c r="A266" s="1159" t="s">
        <v>1101</v>
      </c>
      <c r="B266" s="1157">
        <v>1000</v>
      </c>
      <c r="C266" s="1161">
        <v>0.84</v>
      </c>
      <c r="D266" s="1157">
        <v>0.27</v>
      </c>
      <c r="E266" s="1157">
        <v>5</v>
      </c>
      <c r="F266" s="1157">
        <v>10</v>
      </c>
      <c r="G266" s="1157">
        <v>0.33</v>
      </c>
      <c r="H266" s="1157">
        <v>0.41</v>
      </c>
    </row>
    <row r="267" spans="1:8" s="1146" customFormat="1" ht="13.5" customHeight="1" x14ac:dyDescent="0.25">
      <c r="A267" s="1159" t="s">
        <v>1101</v>
      </c>
      <c r="B267" s="1164">
        <v>800</v>
      </c>
      <c r="C267" s="1161">
        <v>0.84</v>
      </c>
      <c r="D267" s="1157">
        <v>0.21</v>
      </c>
      <c r="E267" s="1157">
        <v>5</v>
      </c>
      <c r="F267" s="1157">
        <v>10</v>
      </c>
      <c r="G267" s="1157">
        <v>0.24</v>
      </c>
      <c r="H267" s="1157">
        <v>0.31</v>
      </c>
    </row>
    <row r="268" spans="1:8" s="1146" customFormat="1" ht="13.5" customHeight="1" x14ac:dyDescent="0.25">
      <c r="A268" s="1159" t="s">
        <v>1101</v>
      </c>
      <c r="B268" s="1157">
        <v>600</v>
      </c>
      <c r="C268" s="1161">
        <v>0.84</v>
      </c>
      <c r="D268" s="1157">
        <v>0.16</v>
      </c>
      <c r="E268" s="1157">
        <v>5</v>
      </c>
      <c r="F268" s="1157">
        <v>10</v>
      </c>
      <c r="G268" s="1157">
        <v>0.2</v>
      </c>
      <c r="H268" s="1157">
        <v>0.26</v>
      </c>
    </row>
    <row r="269" spans="1:8" s="1146" customFormat="1" ht="13.5" customHeight="1" x14ac:dyDescent="0.25">
      <c r="A269" s="1159" t="s">
        <v>1101</v>
      </c>
      <c r="B269" s="1164">
        <v>500</v>
      </c>
      <c r="C269" s="1161">
        <v>0.84</v>
      </c>
      <c r="D269" s="1157">
        <v>0.14000000000000001</v>
      </c>
      <c r="E269" s="1157">
        <v>5</v>
      </c>
      <c r="F269" s="1157">
        <v>10</v>
      </c>
      <c r="G269" s="1157">
        <v>0.17</v>
      </c>
      <c r="H269" s="1157">
        <v>0.23</v>
      </c>
    </row>
    <row r="270" spans="1:8" s="1146" customFormat="1" ht="13.5" customHeight="1" x14ac:dyDescent="0.25">
      <c r="A270" s="1157" t="s">
        <v>1102</v>
      </c>
      <c r="B270" s="1157">
        <v>1200</v>
      </c>
      <c r="C270" s="1161">
        <v>0.84</v>
      </c>
      <c r="D270" s="1157">
        <v>0.41</v>
      </c>
      <c r="E270" s="1157">
        <v>4</v>
      </c>
      <c r="F270" s="1157">
        <v>8</v>
      </c>
      <c r="G270" s="1157">
        <v>0.52</v>
      </c>
      <c r="H270" s="1157">
        <v>0.57999999999999996</v>
      </c>
    </row>
    <row r="271" spans="1:8" s="1146" customFormat="1" ht="13.5" customHeight="1" x14ac:dyDescent="0.25">
      <c r="A271" s="1157" t="s">
        <v>1022</v>
      </c>
      <c r="B271" s="1157">
        <v>1000</v>
      </c>
      <c r="C271" s="1161">
        <v>0.84</v>
      </c>
      <c r="D271" s="1157">
        <v>0.33</v>
      </c>
      <c r="E271" s="1157">
        <v>4</v>
      </c>
      <c r="F271" s="1157">
        <v>8</v>
      </c>
      <c r="G271" s="1157">
        <v>0.41</v>
      </c>
      <c r="H271" s="1157">
        <v>0.47</v>
      </c>
    </row>
    <row r="272" spans="1:8" s="1146" customFormat="1" ht="13.5" customHeight="1" x14ac:dyDescent="0.25">
      <c r="A272" s="1165" t="s">
        <v>1019</v>
      </c>
      <c r="B272" s="1164">
        <v>800</v>
      </c>
      <c r="C272" s="1161">
        <v>0.84</v>
      </c>
      <c r="D272" s="1157">
        <v>0.23</v>
      </c>
      <c r="E272" s="1157">
        <v>4</v>
      </c>
      <c r="F272" s="1157">
        <v>8</v>
      </c>
      <c r="G272" s="1157">
        <v>0.28999999999999998</v>
      </c>
      <c r="H272" s="1157">
        <v>0.35</v>
      </c>
    </row>
    <row r="273" spans="1:8" s="1146" customFormat="1" ht="13.5" customHeight="1" x14ac:dyDescent="0.25">
      <c r="A273" s="1157" t="s">
        <v>1103</v>
      </c>
      <c r="B273" s="1157">
        <v>1000</v>
      </c>
      <c r="C273" s="1161">
        <v>0.84</v>
      </c>
      <c r="D273" s="1157">
        <v>0.28000000000000003</v>
      </c>
      <c r="E273" s="1157">
        <v>9</v>
      </c>
      <c r="F273" s="1157">
        <v>13</v>
      </c>
      <c r="G273" s="1157">
        <v>0.35</v>
      </c>
      <c r="H273" s="1157">
        <v>0.41</v>
      </c>
    </row>
    <row r="274" spans="1:8" s="1146" customFormat="1" ht="13.5" customHeight="1" x14ac:dyDescent="0.25">
      <c r="A274" s="1157" t="s">
        <v>1022</v>
      </c>
      <c r="B274" s="1164">
        <v>800</v>
      </c>
      <c r="C274" s="1161">
        <v>0.84</v>
      </c>
      <c r="D274" s="1157">
        <v>0.22</v>
      </c>
      <c r="E274" s="1157">
        <v>9</v>
      </c>
      <c r="F274" s="1157">
        <v>13</v>
      </c>
      <c r="G274" s="1157">
        <v>0.28999999999999998</v>
      </c>
      <c r="H274" s="1157">
        <v>0.35</v>
      </c>
    </row>
    <row r="275" spans="1:8" s="1146" customFormat="1" ht="13.5" customHeight="1" x14ac:dyDescent="0.25">
      <c r="A275" s="1157" t="s">
        <v>1104</v>
      </c>
      <c r="B275" s="1157">
        <v>1400</v>
      </c>
      <c r="C275" s="1161">
        <v>0.84</v>
      </c>
      <c r="D275" s="1157">
        <v>0.49</v>
      </c>
      <c r="E275" s="1157">
        <v>4</v>
      </c>
      <c r="F275" s="1157">
        <v>7</v>
      </c>
      <c r="G275" s="1157">
        <v>0.56000000000000005</v>
      </c>
      <c r="H275" s="1157">
        <v>0.64</v>
      </c>
    </row>
    <row r="276" spans="1:8" s="1146" customFormat="1" ht="13.5" customHeight="1" x14ac:dyDescent="0.25">
      <c r="A276" s="1165" t="s">
        <v>1019</v>
      </c>
      <c r="B276" s="1157">
        <v>1200</v>
      </c>
      <c r="C276" s="1161">
        <v>0.84</v>
      </c>
      <c r="D276" s="1157">
        <v>0.36</v>
      </c>
      <c r="E276" s="1157">
        <v>4</v>
      </c>
      <c r="F276" s="1157">
        <v>7</v>
      </c>
      <c r="G276" s="1157">
        <v>0.44</v>
      </c>
      <c r="H276" s="1157">
        <v>0.5</v>
      </c>
    </row>
    <row r="277" spans="1:8" s="1146" customFormat="1" ht="13.5" customHeight="1" x14ac:dyDescent="0.25">
      <c r="A277" s="1165" t="s">
        <v>1019</v>
      </c>
      <c r="B277" s="1157">
        <v>1000</v>
      </c>
      <c r="C277" s="1161">
        <v>0.84</v>
      </c>
      <c r="D277" s="1157">
        <v>0.27</v>
      </c>
      <c r="E277" s="1157">
        <v>4</v>
      </c>
      <c r="F277" s="1157">
        <v>7</v>
      </c>
      <c r="G277" s="1157">
        <v>0.33</v>
      </c>
      <c r="H277" s="1157">
        <v>0.38</v>
      </c>
    </row>
    <row r="278" spans="1:8" s="1146" customFormat="1" ht="13.5" customHeight="1" x14ac:dyDescent="0.25">
      <c r="A278" s="1157" t="s">
        <v>1105</v>
      </c>
      <c r="B278" s="1157">
        <v>1200</v>
      </c>
      <c r="C278" s="1161">
        <v>0.84</v>
      </c>
      <c r="D278" s="1157">
        <v>0.28999999999999998</v>
      </c>
      <c r="E278" s="1157">
        <v>10</v>
      </c>
      <c r="F278" s="1157">
        <v>15</v>
      </c>
      <c r="G278" s="1157">
        <v>0.44</v>
      </c>
      <c r="H278" s="1157">
        <v>0.5</v>
      </c>
    </row>
    <row r="279" spans="1:8" s="1146" customFormat="1" ht="13.5" customHeight="1" x14ac:dyDescent="0.25">
      <c r="A279" s="1165" t="s">
        <v>1019</v>
      </c>
      <c r="B279" s="1157">
        <v>1000</v>
      </c>
      <c r="C279" s="1161">
        <v>0.84</v>
      </c>
      <c r="D279" s="1157">
        <v>0.22</v>
      </c>
      <c r="E279" s="1157">
        <v>10</v>
      </c>
      <c r="F279" s="1157">
        <v>15</v>
      </c>
      <c r="G279" s="1157">
        <v>0.33</v>
      </c>
      <c r="H279" s="1157">
        <v>0.38</v>
      </c>
    </row>
    <row r="280" spans="1:8" s="1146" customFormat="1" ht="13.5" customHeight="1" x14ac:dyDescent="0.25">
      <c r="A280" s="1165" t="s">
        <v>1019</v>
      </c>
      <c r="B280" s="1164">
        <v>800</v>
      </c>
      <c r="C280" s="1161">
        <v>0.84</v>
      </c>
      <c r="D280" s="1157">
        <v>0.16</v>
      </c>
      <c r="E280" s="1157">
        <v>10</v>
      </c>
      <c r="F280" s="1157">
        <v>15</v>
      </c>
      <c r="G280" s="1157">
        <v>0.27</v>
      </c>
      <c r="H280" s="1157">
        <v>0.33</v>
      </c>
    </row>
    <row r="281" spans="1:8" s="1146" customFormat="1" ht="13.5" customHeight="1" x14ac:dyDescent="0.25">
      <c r="A281" s="1165" t="s">
        <v>1019</v>
      </c>
      <c r="B281" s="1157">
        <v>600</v>
      </c>
      <c r="C281" s="1161">
        <v>0.84</v>
      </c>
      <c r="D281" s="1157">
        <v>0.12</v>
      </c>
      <c r="E281" s="1157">
        <v>10</v>
      </c>
      <c r="F281" s="1157">
        <v>15</v>
      </c>
      <c r="G281" s="1157">
        <v>0.19</v>
      </c>
      <c r="H281" s="1157">
        <v>0.23</v>
      </c>
    </row>
    <row r="282" spans="1:8" s="1146" customFormat="1" ht="13.5" customHeight="1" x14ac:dyDescent="0.25">
      <c r="A282" s="1157" t="s">
        <v>1106</v>
      </c>
      <c r="B282" s="1157">
        <v>1800</v>
      </c>
      <c r="C282" s="1161">
        <v>0.84</v>
      </c>
      <c r="D282" s="1157">
        <v>0.52</v>
      </c>
      <c r="E282" s="1157">
        <v>5</v>
      </c>
      <c r="F282" s="1157">
        <v>8</v>
      </c>
      <c r="G282" s="1157">
        <v>0.63</v>
      </c>
      <c r="H282" s="1157">
        <v>0.76</v>
      </c>
    </row>
    <row r="283" spans="1:8" s="1146" customFormat="1" ht="13.5" customHeight="1" x14ac:dyDescent="0.25">
      <c r="A283" s="1157" t="s">
        <v>1022</v>
      </c>
      <c r="B283" s="1157">
        <v>1600</v>
      </c>
      <c r="C283" s="1161">
        <v>0.84</v>
      </c>
      <c r="D283" s="1157">
        <v>0.41</v>
      </c>
      <c r="E283" s="1157">
        <v>5</v>
      </c>
      <c r="F283" s="1157">
        <v>8</v>
      </c>
      <c r="G283" s="1157">
        <v>0.52</v>
      </c>
      <c r="H283" s="1157">
        <v>0.63</v>
      </c>
    </row>
    <row r="284" spans="1:8" s="1146" customFormat="1" ht="13.5" customHeight="1" x14ac:dyDescent="0.25">
      <c r="A284" s="1165" t="s">
        <v>1019</v>
      </c>
      <c r="B284" s="1157">
        <v>1400</v>
      </c>
      <c r="C284" s="1161">
        <v>0.84</v>
      </c>
      <c r="D284" s="1157">
        <v>0.35</v>
      </c>
      <c r="E284" s="1157">
        <v>5</v>
      </c>
      <c r="F284" s="1157">
        <v>8</v>
      </c>
      <c r="G284" s="1157">
        <v>0.44</v>
      </c>
      <c r="H284" s="1157">
        <v>0.52</v>
      </c>
    </row>
    <row r="285" spans="1:8" s="1146" customFormat="1" ht="13.5" customHeight="1" x14ac:dyDescent="0.25">
      <c r="A285" s="1165" t="s">
        <v>1019</v>
      </c>
      <c r="B285" s="1157">
        <v>1200</v>
      </c>
      <c r="C285" s="1161">
        <v>0.84</v>
      </c>
      <c r="D285" s="1157">
        <v>0.28999999999999998</v>
      </c>
      <c r="E285" s="1157">
        <v>5</v>
      </c>
      <c r="F285" s="1157">
        <v>8</v>
      </c>
      <c r="G285" s="1157">
        <v>0.37</v>
      </c>
      <c r="H285" s="1157">
        <v>0.44</v>
      </c>
    </row>
    <row r="286" spans="1:8" s="1146" customFormat="1" ht="13.5" customHeight="1" x14ac:dyDescent="0.25">
      <c r="A286" s="1165" t="s">
        <v>1019</v>
      </c>
      <c r="B286" s="1157">
        <v>1000</v>
      </c>
      <c r="C286" s="1161">
        <v>0.84</v>
      </c>
      <c r="D286" s="1157">
        <v>0.23</v>
      </c>
      <c r="E286" s="1157">
        <v>5</v>
      </c>
      <c r="F286" s="1157">
        <v>8</v>
      </c>
      <c r="G286" s="1157">
        <v>0.31</v>
      </c>
      <c r="H286" s="1157">
        <v>0.37</v>
      </c>
    </row>
    <row r="287" spans="1:8" s="1146" customFormat="1" ht="13.5" customHeight="1" x14ac:dyDescent="0.25">
      <c r="A287" s="1157" t="s">
        <v>1107</v>
      </c>
      <c r="B287" s="1157">
        <v>1600</v>
      </c>
      <c r="C287" s="1161">
        <v>0.84</v>
      </c>
      <c r="D287" s="1157">
        <v>0.47</v>
      </c>
      <c r="E287" s="1157">
        <v>8</v>
      </c>
      <c r="F287" s="1157">
        <v>11</v>
      </c>
      <c r="G287" s="1157">
        <v>0.63</v>
      </c>
      <c r="H287" s="1157">
        <v>0.7</v>
      </c>
    </row>
    <row r="288" spans="1:8" s="1146" customFormat="1" ht="13.5" customHeight="1" x14ac:dyDescent="0.25">
      <c r="A288" s="1157" t="s">
        <v>1022</v>
      </c>
      <c r="B288" s="1157">
        <v>1400</v>
      </c>
      <c r="C288" s="1161">
        <v>0.84</v>
      </c>
      <c r="D288" s="1157">
        <v>0.35</v>
      </c>
      <c r="E288" s="1157">
        <v>8</v>
      </c>
      <c r="F288" s="1157">
        <v>11</v>
      </c>
      <c r="G288" s="1157">
        <v>0.52</v>
      </c>
      <c r="H288" s="1157">
        <v>0.57999999999999996</v>
      </c>
    </row>
    <row r="289" spans="1:8" s="1146" customFormat="1" ht="13.5" customHeight="1" x14ac:dyDescent="0.25">
      <c r="A289" s="1165" t="s">
        <v>1019</v>
      </c>
      <c r="B289" s="1157">
        <v>1200</v>
      </c>
      <c r="C289" s="1161">
        <v>0.84</v>
      </c>
      <c r="D289" s="1157">
        <v>0.28999999999999998</v>
      </c>
      <c r="E289" s="1157">
        <v>8</v>
      </c>
      <c r="F289" s="1157">
        <v>11</v>
      </c>
      <c r="G289" s="1157">
        <v>0.41</v>
      </c>
      <c r="H289" s="1157">
        <v>0.47</v>
      </c>
    </row>
    <row r="290" spans="1:8" s="1146" customFormat="1" ht="13.5" customHeight="1" x14ac:dyDescent="0.25">
      <c r="A290" s="1165" t="s">
        <v>1019</v>
      </c>
      <c r="B290" s="1157">
        <v>1000</v>
      </c>
      <c r="C290" s="1161">
        <v>0.84</v>
      </c>
      <c r="D290" s="1157">
        <v>0.23</v>
      </c>
      <c r="E290" s="1157">
        <v>8</v>
      </c>
      <c r="F290" s="1157">
        <v>11</v>
      </c>
      <c r="G290" s="1157">
        <v>0.35</v>
      </c>
      <c r="H290" s="1157">
        <v>0.41</v>
      </c>
    </row>
    <row r="291" spans="1:8" s="1146" customFormat="1" ht="13.5" customHeight="1" x14ac:dyDescent="0.25">
      <c r="A291" s="1165" t="s">
        <v>1019</v>
      </c>
      <c r="B291" s="1164">
        <v>800</v>
      </c>
      <c r="C291" s="1161">
        <v>0.84</v>
      </c>
      <c r="D291" s="1157">
        <v>0.17</v>
      </c>
      <c r="E291" s="1157">
        <v>8</v>
      </c>
      <c r="F291" s="1157">
        <v>11</v>
      </c>
      <c r="G291" s="1157">
        <v>0.28999999999999998</v>
      </c>
      <c r="H291" s="1157">
        <v>0.35</v>
      </c>
    </row>
    <row r="292" spans="1:8" s="1146" customFormat="1" ht="13.5" customHeight="1" x14ac:dyDescent="0.25">
      <c r="A292" s="1157" t="s">
        <v>1108</v>
      </c>
      <c r="B292" s="1157">
        <v>1800</v>
      </c>
      <c r="C292" s="1161">
        <v>0.84</v>
      </c>
      <c r="D292" s="1157">
        <v>0.57999999999999996</v>
      </c>
      <c r="E292" s="1157">
        <v>5</v>
      </c>
      <c r="F292" s="1157">
        <v>8</v>
      </c>
      <c r="G292" s="1157">
        <v>0.7</v>
      </c>
      <c r="H292" s="1157">
        <v>0.81</v>
      </c>
    </row>
    <row r="293" spans="1:8" s="1146" customFormat="1" ht="13.5" customHeight="1" x14ac:dyDescent="0.25">
      <c r="A293" s="1157" t="s">
        <v>1108</v>
      </c>
      <c r="B293" s="1157">
        <v>1600</v>
      </c>
      <c r="C293" s="1161">
        <v>0.84</v>
      </c>
      <c r="D293" s="1157">
        <v>0.47</v>
      </c>
      <c r="E293" s="1157">
        <v>5</v>
      </c>
      <c r="F293" s="1157">
        <v>8</v>
      </c>
      <c r="G293" s="1157">
        <v>0.57999999999999996</v>
      </c>
      <c r="H293" s="1157">
        <v>0.64</v>
      </c>
    </row>
    <row r="294" spans="1:8" s="1146" customFormat="1" ht="13.5" customHeight="1" x14ac:dyDescent="0.25">
      <c r="A294" s="1157" t="s">
        <v>1022</v>
      </c>
      <c r="B294" s="1157">
        <v>1400</v>
      </c>
      <c r="C294" s="1161">
        <v>0.84</v>
      </c>
      <c r="D294" s="1157">
        <v>0.41</v>
      </c>
      <c r="E294" s="1157">
        <v>5</v>
      </c>
      <c r="F294" s="1157">
        <v>8</v>
      </c>
      <c r="G294" s="1157">
        <v>0.52</v>
      </c>
      <c r="H294" s="1157">
        <v>0.57999999999999996</v>
      </c>
    </row>
    <row r="295" spans="1:8" s="1146" customFormat="1" ht="13.5" customHeight="1" x14ac:dyDescent="0.25">
      <c r="A295" s="1165" t="s">
        <v>1019</v>
      </c>
      <c r="B295" s="1157">
        <v>1200</v>
      </c>
      <c r="C295" s="1161">
        <v>0.84</v>
      </c>
      <c r="D295" s="1157">
        <v>0.35</v>
      </c>
      <c r="E295" s="1157">
        <v>5</v>
      </c>
      <c r="F295" s="1157">
        <v>8</v>
      </c>
      <c r="G295" s="1157">
        <v>0.47</v>
      </c>
      <c r="H295" s="1157">
        <v>0.52</v>
      </c>
    </row>
    <row r="296" spans="1:8" s="1146" customFormat="1" ht="13.5" customHeight="1" x14ac:dyDescent="0.25">
      <c r="A296" s="1157" t="s">
        <v>1109</v>
      </c>
      <c r="B296" s="1157">
        <v>1800</v>
      </c>
      <c r="C296" s="1161">
        <v>0.84</v>
      </c>
      <c r="D296" s="1157">
        <v>0.7</v>
      </c>
      <c r="E296" s="1157">
        <v>5</v>
      </c>
      <c r="F296" s="1157">
        <v>8</v>
      </c>
      <c r="G296" s="1157">
        <v>0.85</v>
      </c>
      <c r="H296" s="1157">
        <v>0.93</v>
      </c>
    </row>
    <row r="297" spans="1:8" s="1146" customFormat="1" ht="13.5" customHeight="1" x14ac:dyDescent="0.25">
      <c r="A297" s="1157" t="s">
        <v>1022</v>
      </c>
      <c r="B297" s="1157">
        <v>1600</v>
      </c>
      <c r="C297" s="1161">
        <v>0.84</v>
      </c>
      <c r="D297" s="1157">
        <v>0.57999999999999996</v>
      </c>
      <c r="E297" s="1157">
        <v>5</v>
      </c>
      <c r="F297" s="1157">
        <v>8</v>
      </c>
      <c r="G297" s="1157">
        <v>0.72</v>
      </c>
      <c r="H297" s="1157">
        <v>0.78</v>
      </c>
    </row>
    <row r="298" spans="1:8" s="1146" customFormat="1" ht="13.5" customHeight="1" x14ac:dyDescent="0.25">
      <c r="A298" s="1165" t="s">
        <v>1019</v>
      </c>
      <c r="B298" s="1157">
        <v>1400</v>
      </c>
      <c r="C298" s="1161">
        <v>0.84</v>
      </c>
      <c r="D298" s="1157">
        <v>0.47</v>
      </c>
      <c r="E298" s="1157">
        <v>5</v>
      </c>
      <c r="F298" s="1157">
        <v>8</v>
      </c>
      <c r="G298" s="1157">
        <v>0.59</v>
      </c>
      <c r="H298" s="1157">
        <v>0.65</v>
      </c>
    </row>
    <row r="299" spans="1:8" s="1146" customFormat="1" ht="13.5" customHeight="1" x14ac:dyDescent="0.25">
      <c r="A299" s="1165" t="s">
        <v>1019</v>
      </c>
      <c r="B299" s="1157">
        <v>1200</v>
      </c>
      <c r="C299" s="1161">
        <v>0.84</v>
      </c>
      <c r="D299" s="1157">
        <v>0.35</v>
      </c>
      <c r="E299" s="1157">
        <v>5</v>
      </c>
      <c r="F299" s="1157">
        <v>8</v>
      </c>
      <c r="G299" s="1157">
        <v>0.48</v>
      </c>
      <c r="H299" s="1157">
        <v>0.54</v>
      </c>
    </row>
    <row r="300" spans="1:8" s="1146" customFormat="1" ht="13.5" customHeight="1" x14ac:dyDescent="0.25">
      <c r="A300" s="1165" t="s">
        <v>1019</v>
      </c>
      <c r="B300" s="1157">
        <v>1000</v>
      </c>
      <c r="C300" s="1161">
        <v>0.84</v>
      </c>
      <c r="D300" s="1157">
        <v>0.28999999999999998</v>
      </c>
      <c r="E300" s="1157">
        <v>5</v>
      </c>
      <c r="F300" s="1157">
        <v>8</v>
      </c>
      <c r="G300" s="1157">
        <v>0.38</v>
      </c>
      <c r="H300" s="1157">
        <v>0.44</v>
      </c>
    </row>
    <row r="301" spans="1:8" s="1146" customFormat="1" ht="13.5" customHeight="1" x14ac:dyDescent="0.25">
      <c r="A301" s="1157" t="s">
        <v>1110</v>
      </c>
      <c r="B301" s="1157">
        <v>1400</v>
      </c>
      <c r="C301" s="1161">
        <v>0.84</v>
      </c>
      <c r="D301" s="1157">
        <v>0.47</v>
      </c>
      <c r="E301" s="1157">
        <v>5</v>
      </c>
      <c r="F301" s="1157">
        <v>8</v>
      </c>
      <c r="G301" s="1157">
        <v>0.52</v>
      </c>
      <c r="H301" s="1157">
        <v>0.57999999999999996</v>
      </c>
    </row>
    <row r="302" spans="1:8" s="1146" customFormat="1" ht="13.5" customHeight="1" x14ac:dyDescent="0.25">
      <c r="A302" s="1157" t="s">
        <v>1022</v>
      </c>
      <c r="B302" s="1157">
        <v>1200</v>
      </c>
      <c r="C302" s="1161">
        <v>0.84</v>
      </c>
      <c r="D302" s="1157">
        <v>0.35</v>
      </c>
      <c r="E302" s="1157">
        <v>5</v>
      </c>
      <c r="F302" s="1157">
        <v>8</v>
      </c>
      <c r="G302" s="1157">
        <v>0.41</v>
      </c>
      <c r="H302" s="1157">
        <v>0.47</v>
      </c>
    </row>
    <row r="303" spans="1:8" s="1146" customFormat="1" ht="13.5" customHeight="1" x14ac:dyDescent="0.25">
      <c r="A303" s="1165" t="s">
        <v>1019</v>
      </c>
      <c r="B303" s="1157">
        <v>1000</v>
      </c>
      <c r="C303" s="1161">
        <v>0.84</v>
      </c>
      <c r="D303" s="1157">
        <v>0.24</v>
      </c>
      <c r="E303" s="1157">
        <v>5</v>
      </c>
      <c r="F303" s="1157">
        <v>8</v>
      </c>
      <c r="G303" s="1157">
        <v>0.3</v>
      </c>
      <c r="H303" s="1157">
        <v>0.35</v>
      </c>
    </row>
    <row r="304" spans="1:8" s="1146" customFormat="1" ht="13.5" customHeight="1" x14ac:dyDescent="0.25">
      <c r="A304" s="1157" t="s">
        <v>1111</v>
      </c>
      <c r="B304" s="1164">
        <v>800</v>
      </c>
      <c r="C304" s="1161">
        <v>0.84</v>
      </c>
      <c r="D304" s="1157">
        <v>0.21</v>
      </c>
      <c r="E304" s="1157">
        <v>8</v>
      </c>
      <c r="F304" s="1157">
        <v>13</v>
      </c>
      <c r="G304" s="1157">
        <v>0.23</v>
      </c>
      <c r="H304" s="1157">
        <v>0.26</v>
      </c>
    </row>
    <row r="305" spans="1:8" s="1146" customFormat="1" ht="13.5" customHeight="1" x14ac:dyDescent="0.25">
      <c r="A305" s="1165" t="s">
        <v>1019</v>
      </c>
      <c r="B305" s="1157">
        <v>600</v>
      </c>
      <c r="C305" s="1161">
        <v>0.84</v>
      </c>
      <c r="D305" s="1157">
        <v>0.14000000000000001</v>
      </c>
      <c r="E305" s="1157">
        <v>8</v>
      </c>
      <c r="F305" s="1157">
        <v>13</v>
      </c>
      <c r="G305" s="1157">
        <v>0.16</v>
      </c>
      <c r="H305" s="1157">
        <v>0.17</v>
      </c>
    </row>
    <row r="306" spans="1:8" s="1146" customFormat="1" ht="13.5" customHeight="1" x14ac:dyDescent="0.25">
      <c r="A306" s="1165" t="s">
        <v>1019</v>
      </c>
      <c r="B306" s="1157">
        <v>400</v>
      </c>
      <c r="C306" s="1161">
        <v>0.84</v>
      </c>
      <c r="D306" s="1157">
        <v>0.09</v>
      </c>
      <c r="E306" s="1157">
        <v>8</v>
      </c>
      <c r="F306" s="1157">
        <v>13</v>
      </c>
      <c r="G306" s="1157">
        <v>0.11</v>
      </c>
      <c r="H306" s="1157">
        <v>0.13</v>
      </c>
    </row>
    <row r="307" spans="1:8" s="1146" customFormat="1" ht="13.5" customHeight="1" x14ac:dyDescent="0.25">
      <c r="A307" s="1165" t="s">
        <v>1019</v>
      </c>
      <c r="B307" s="1164">
        <v>300</v>
      </c>
      <c r="C307" s="1161">
        <v>0.84</v>
      </c>
      <c r="D307" s="1157">
        <v>0.08</v>
      </c>
      <c r="E307" s="1157">
        <v>8</v>
      </c>
      <c r="F307" s="1157">
        <v>13</v>
      </c>
      <c r="G307" s="1157">
        <v>0.09</v>
      </c>
      <c r="H307" s="1157">
        <v>0.11</v>
      </c>
    </row>
    <row r="308" spans="1:8" s="1146" customFormat="1" ht="13.5" customHeight="1" x14ac:dyDescent="0.25">
      <c r="A308" s="1861" t="s">
        <v>1112</v>
      </c>
      <c r="B308" s="1861"/>
      <c r="C308" s="1861"/>
      <c r="D308" s="1861"/>
      <c r="E308" s="1861"/>
      <c r="F308" s="1861"/>
      <c r="G308" s="1861"/>
      <c r="H308" s="1861"/>
    </row>
    <row r="309" spans="1:8" s="1146" customFormat="1" ht="13.5" customHeight="1" x14ac:dyDescent="0.25">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25">
      <c r="A310" s="1163"/>
      <c r="B310" s="1163"/>
      <c r="C310" s="1163"/>
      <c r="D310" s="1163"/>
      <c r="E310" s="1163"/>
      <c r="F310" s="1163"/>
      <c r="G310" s="1163"/>
      <c r="H310" s="1163"/>
    </row>
    <row r="311" spans="1:8" s="1146" customFormat="1" ht="13.5" customHeight="1" x14ac:dyDescent="0.25">
      <c r="A311" s="1165" t="s">
        <v>1019</v>
      </c>
      <c r="B311" s="1164">
        <v>500</v>
      </c>
      <c r="C311" s="1161">
        <v>1.06</v>
      </c>
      <c r="D311" s="1157">
        <v>0.125</v>
      </c>
      <c r="E311" s="1157">
        <v>4</v>
      </c>
      <c r="F311" s="1157">
        <v>8</v>
      </c>
      <c r="G311" s="1157">
        <v>0.14000000000000001</v>
      </c>
      <c r="H311" s="1157">
        <v>0.16</v>
      </c>
    </row>
    <row r="312" spans="1:8" s="1146" customFormat="1" ht="13.5" customHeight="1" x14ac:dyDescent="0.25">
      <c r="A312" s="1165" t="s">
        <v>1019</v>
      </c>
      <c r="B312" s="1157">
        <v>400</v>
      </c>
      <c r="C312" s="1161">
        <v>1.06</v>
      </c>
      <c r="D312" s="1157">
        <v>0.105</v>
      </c>
      <c r="E312" s="1157">
        <v>4</v>
      </c>
      <c r="F312" s="1157">
        <v>8</v>
      </c>
      <c r="G312" s="1157">
        <v>0.12</v>
      </c>
      <c r="H312" s="1157">
        <v>0.13500000000000001</v>
      </c>
    </row>
    <row r="313" spans="1:8" s="1146" customFormat="1" ht="13.5" customHeight="1" x14ac:dyDescent="0.25">
      <c r="A313" s="1165" t="s">
        <v>1019</v>
      </c>
      <c r="B313" s="1164">
        <v>300</v>
      </c>
      <c r="C313" s="1161">
        <v>1.06</v>
      </c>
      <c r="D313" s="1157">
        <v>8.5000000000000006E-2</v>
      </c>
      <c r="E313" s="1157">
        <v>4</v>
      </c>
      <c r="F313" s="1157">
        <v>8</v>
      </c>
      <c r="G313" s="1157">
        <v>0.09</v>
      </c>
      <c r="H313" s="1157">
        <v>0.11</v>
      </c>
    </row>
    <row r="314" spans="1:8" s="1146" customFormat="1" ht="13.5" customHeight="1" x14ac:dyDescent="0.25">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25">
      <c r="A315" s="1165" t="s">
        <v>1019</v>
      </c>
      <c r="B315" s="1164">
        <v>150</v>
      </c>
      <c r="C315" s="1161">
        <v>1.06</v>
      </c>
      <c r="D315" s="1157">
        <v>5.5E-2</v>
      </c>
      <c r="E315" s="1157">
        <v>4</v>
      </c>
      <c r="F315" s="1157">
        <v>8</v>
      </c>
      <c r="G315" s="1157">
        <v>5.7000000000000002E-2</v>
      </c>
      <c r="H315" s="1157">
        <v>0.06</v>
      </c>
    </row>
    <row r="316" spans="1:8" s="1146" customFormat="1" ht="13.5" customHeight="1" x14ac:dyDescent="0.25">
      <c r="A316" s="1159" t="s">
        <v>1114</v>
      </c>
      <c r="B316" s="1157">
        <v>1000</v>
      </c>
      <c r="C316" s="1161">
        <v>0.84</v>
      </c>
      <c r="D316" s="1157">
        <v>0.28999999999999998</v>
      </c>
      <c r="E316" s="1157">
        <v>10</v>
      </c>
      <c r="F316" s="1157">
        <v>15</v>
      </c>
      <c r="G316" s="1157">
        <v>0.41</v>
      </c>
      <c r="H316" s="1157">
        <v>0.47</v>
      </c>
    </row>
    <row r="317" spans="1:8" s="1146" customFormat="1" ht="13.5" customHeight="1" x14ac:dyDescent="0.25">
      <c r="A317" s="1157" t="s">
        <v>1022</v>
      </c>
      <c r="B317" s="1164">
        <v>800</v>
      </c>
      <c r="C317" s="1161">
        <v>0.84</v>
      </c>
      <c r="D317" s="1157">
        <v>0.21</v>
      </c>
      <c r="E317" s="1157">
        <v>10</v>
      </c>
      <c r="F317" s="1157">
        <v>15</v>
      </c>
      <c r="G317" s="1157">
        <v>0.33</v>
      </c>
      <c r="H317" s="1157">
        <v>0.37</v>
      </c>
    </row>
    <row r="318" spans="1:8" s="1146" customFormat="1" ht="13.5" customHeight="1" x14ac:dyDescent="0.25">
      <c r="A318" s="1165" t="s">
        <v>1019</v>
      </c>
      <c r="B318" s="1157">
        <v>600</v>
      </c>
      <c r="C318" s="1161">
        <v>0.84</v>
      </c>
      <c r="D318" s="1157">
        <v>0.14000000000000001</v>
      </c>
      <c r="E318" s="1157">
        <v>8</v>
      </c>
      <c r="F318" s="1157">
        <v>12</v>
      </c>
      <c r="G318" s="1157">
        <v>0.22</v>
      </c>
      <c r="H318" s="1157">
        <v>0.26</v>
      </c>
    </row>
    <row r="319" spans="1:8" s="1146" customFormat="1" ht="13.5" customHeight="1" x14ac:dyDescent="0.25">
      <c r="A319" s="1165" t="s">
        <v>1019</v>
      </c>
      <c r="B319" s="1157">
        <v>400</v>
      </c>
      <c r="C319" s="1161">
        <v>0.84</v>
      </c>
      <c r="D319" s="1157">
        <v>0.11</v>
      </c>
      <c r="E319" s="1157">
        <v>8</v>
      </c>
      <c r="F319" s="1157">
        <v>12</v>
      </c>
      <c r="G319" s="1157">
        <v>0.14000000000000001</v>
      </c>
      <c r="H319" s="1157">
        <v>0.15</v>
      </c>
    </row>
    <row r="320" spans="1:8" s="1146" customFormat="1" ht="13.5" customHeight="1" x14ac:dyDescent="0.25">
      <c r="A320" s="1157" t="s">
        <v>1114</v>
      </c>
      <c r="B320" s="1164">
        <v>300</v>
      </c>
      <c r="C320" s="1161">
        <v>0.84</v>
      </c>
      <c r="D320" s="1157">
        <v>0.08</v>
      </c>
      <c r="E320" s="1157">
        <v>8</v>
      </c>
      <c r="F320" s="1157">
        <v>12</v>
      </c>
      <c r="G320" s="1157">
        <v>0.11</v>
      </c>
      <c r="H320" s="1157">
        <v>0.13</v>
      </c>
    </row>
    <row r="321" spans="1:8" s="1146" customFormat="1" ht="13.5" customHeight="1" x14ac:dyDescent="0.25">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25">
      <c r="A322" s="1157" t="s">
        <v>1022</v>
      </c>
      <c r="B322" s="1157">
        <v>1000</v>
      </c>
      <c r="C322" s="1161">
        <v>0.84</v>
      </c>
      <c r="D322" s="1157">
        <v>0.23</v>
      </c>
      <c r="E322" s="1157">
        <v>15</v>
      </c>
      <c r="F322" s="1157">
        <v>22</v>
      </c>
      <c r="G322" s="1157">
        <v>0.44</v>
      </c>
      <c r="H322" s="1157">
        <v>0.5</v>
      </c>
    </row>
    <row r="323" spans="1:8" s="1146" customFormat="1" ht="13.5" customHeight="1" x14ac:dyDescent="0.25">
      <c r="A323" s="1165" t="s">
        <v>1019</v>
      </c>
      <c r="B323" s="1164">
        <v>800</v>
      </c>
      <c r="C323" s="1161">
        <v>0.84</v>
      </c>
      <c r="D323" s="1157">
        <v>0.17</v>
      </c>
      <c r="E323" s="1157">
        <v>15</v>
      </c>
      <c r="F323" s="1157">
        <v>22</v>
      </c>
      <c r="G323" s="1157">
        <v>0.35</v>
      </c>
      <c r="H323" s="1157">
        <v>0.41</v>
      </c>
    </row>
    <row r="324" spans="1:8" s="1146" customFormat="1" ht="13.5" customHeight="1" x14ac:dyDescent="0.25">
      <c r="A324" s="1870" t="s">
        <v>1116</v>
      </c>
      <c r="B324" s="1870"/>
      <c r="C324" s="1870"/>
      <c r="D324" s="1870"/>
      <c r="E324" s="1870"/>
      <c r="F324" s="1870"/>
      <c r="G324" s="1870"/>
      <c r="H324" s="1870"/>
    </row>
    <row r="325" spans="1:8" s="1146" customFormat="1" ht="13.5" customHeight="1" x14ac:dyDescent="0.25">
      <c r="A325" s="1157" t="s">
        <v>1117</v>
      </c>
      <c r="B325" s="1157">
        <v>1800</v>
      </c>
      <c r="C325" s="1161">
        <v>0.88</v>
      </c>
      <c r="D325" s="1157">
        <v>0.56000000000000005</v>
      </c>
      <c r="E325" s="1157">
        <v>1</v>
      </c>
      <c r="F325" s="1157">
        <v>2</v>
      </c>
      <c r="G325" s="1157">
        <v>0.7</v>
      </c>
      <c r="H325" s="1157">
        <v>0.81</v>
      </c>
    </row>
    <row r="326" spans="1:8" s="1146" customFormat="1" ht="13.5" customHeight="1" x14ac:dyDescent="0.25">
      <c r="A326" s="1157" t="s">
        <v>1118</v>
      </c>
      <c r="B326" s="1157">
        <v>1700</v>
      </c>
      <c r="C326" s="1161">
        <v>0.88</v>
      </c>
      <c r="D326" s="1157">
        <v>0.52</v>
      </c>
      <c r="E326" s="1157">
        <v>1.5</v>
      </c>
      <c r="F326" s="1157">
        <v>3</v>
      </c>
      <c r="G326" s="1157">
        <v>0.64</v>
      </c>
      <c r="H326" s="1157">
        <v>0.76</v>
      </c>
    </row>
    <row r="327" spans="1:8" s="1146" customFormat="1" ht="13.5" customHeight="1" x14ac:dyDescent="0.25">
      <c r="A327" s="1157" t="s">
        <v>1119</v>
      </c>
      <c r="B327" s="1157">
        <v>1600</v>
      </c>
      <c r="C327" s="1161">
        <v>0.88</v>
      </c>
      <c r="D327" s="1157">
        <v>0.47</v>
      </c>
      <c r="E327" s="1157">
        <v>2</v>
      </c>
      <c r="F327" s="1157">
        <v>4</v>
      </c>
      <c r="G327" s="1157">
        <v>0.57999999999999996</v>
      </c>
      <c r="H327" s="1157">
        <v>0.7</v>
      </c>
    </row>
    <row r="328" spans="1:8" s="1146" customFormat="1" ht="13.5" customHeight="1" x14ac:dyDescent="0.25">
      <c r="A328" s="1157" t="s">
        <v>1120</v>
      </c>
      <c r="B328" s="1157">
        <v>1800</v>
      </c>
      <c r="C328" s="1161">
        <v>0.88</v>
      </c>
      <c r="D328" s="1157">
        <v>0.7</v>
      </c>
      <c r="E328" s="1157">
        <v>2</v>
      </c>
      <c r="F328" s="1157">
        <v>4</v>
      </c>
      <c r="G328" s="1157">
        <v>0.76</v>
      </c>
      <c r="H328" s="1157">
        <v>0.87</v>
      </c>
    </row>
    <row r="329" spans="1:8" s="1146" customFormat="1" ht="13.5" customHeight="1" x14ac:dyDescent="0.25">
      <c r="A329" s="1157" t="s">
        <v>1121</v>
      </c>
      <c r="B329" s="1157">
        <v>1200</v>
      </c>
      <c r="C329" s="1161">
        <v>0.88</v>
      </c>
      <c r="D329" s="1157">
        <v>0.35</v>
      </c>
      <c r="E329" s="1157">
        <v>2</v>
      </c>
      <c r="F329" s="1157">
        <v>4</v>
      </c>
      <c r="G329" s="1157">
        <v>0.47</v>
      </c>
      <c r="H329" s="1157">
        <v>0.52</v>
      </c>
    </row>
    <row r="330" spans="1:8" s="1146" customFormat="1" ht="13.5" customHeight="1" x14ac:dyDescent="0.25">
      <c r="A330" s="1157" t="s">
        <v>1022</v>
      </c>
      <c r="B330" s="1157">
        <v>1000</v>
      </c>
      <c r="C330" s="1161">
        <v>0.88</v>
      </c>
      <c r="D330" s="1157">
        <v>0.28999999999999998</v>
      </c>
      <c r="E330" s="1157">
        <v>2</v>
      </c>
      <c r="F330" s="1157">
        <v>4</v>
      </c>
      <c r="G330" s="1157">
        <v>0.41</v>
      </c>
      <c r="H330" s="1157">
        <v>0.47</v>
      </c>
    </row>
    <row r="331" spans="1:8" s="1146" customFormat="1" ht="13.5" customHeight="1" x14ac:dyDescent="0.25">
      <c r="A331" s="1157" t="s">
        <v>1122</v>
      </c>
      <c r="B331" s="1157">
        <v>1500</v>
      </c>
      <c r="C331" s="1161">
        <v>0.88</v>
      </c>
      <c r="D331" s="1157">
        <v>0.52</v>
      </c>
      <c r="E331" s="1157">
        <v>1.5</v>
      </c>
      <c r="F331" s="1157">
        <v>3</v>
      </c>
      <c r="G331" s="1157">
        <v>0.64</v>
      </c>
      <c r="H331" s="1157">
        <v>0.7</v>
      </c>
    </row>
    <row r="332" spans="1:8" s="1146" customFormat="1" ht="13.5" customHeight="1" x14ac:dyDescent="0.25">
      <c r="A332" s="1870" t="s">
        <v>1123</v>
      </c>
      <c r="B332" s="1870"/>
      <c r="C332" s="1870"/>
      <c r="D332" s="1870"/>
      <c r="E332" s="1870"/>
      <c r="F332" s="1870"/>
      <c r="G332" s="1870"/>
      <c r="H332" s="1870"/>
    </row>
    <row r="333" spans="1:8" s="1146" customFormat="1" ht="13.5" customHeight="1" x14ac:dyDescent="0.25">
      <c r="A333" s="1157" t="s">
        <v>1124</v>
      </c>
      <c r="B333" s="1157">
        <v>1600</v>
      </c>
      <c r="C333" s="1161">
        <v>0.88</v>
      </c>
      <c r="D333" s="1157">
        <v>0.47</v>
      </c>
      <c r="E333" s="1157">
        <v>1</v>
      </c>
      <c r="F333" s="1157">
        <v>2</v>
      </c>
      <c r="G333" s="1157">
        <v>0.57999999999999996</v>
      </c>
      <c r="H333" s="1157">
        <v>0.64</v>
      </c>
    </row>
    <row r="334" spans="1:8" s="1146" customFormat="1" ht="13.5" customHeight="1" x14ac:dyDescent="0.25">
      <c r="A334" s="1157" t="s">
        <v>1125</v>
      </c>
      <c r="B334" s="1157">
        <v>1400</v>
      </c>
      <c r="C334" s="1161">
        <v>0.88</v>
      </c>
      <c r="D334" s="1157">
        <v>0.41</v>
      </c>
      <c r="E334" s="1157">
        <v>1</v>
      </c>
      <c r="F334" s="1157">
        <v>2</v>
      </c>
      <c r="G334" s="1157">
        <v>0.52</v>
      </c>
      <c r="H334" s="1157">
        <v>0.57999999999999996</v>
      </c>
    </row>
    <row r="335" spans="1:8" s="1146" customFormat="1" ht="13.5" customHeight="1" x14ac:dyDescent="0.25">
      <c r="A335" s="1157" t="s">
        <v>1126</v>
      </c>
      <c r="B335" s="1157">
        <v>1200</v>
      </c>
      <c r="C335" s="1161">
        <v>0.88</v>
      </c>
      <c r="D335" s="1157">
        <v>0.35</v>
      </c>
      <c r="E335" s="1157">
        <v>1</v>
      </c>
      <c r="F335" s="1157">
        <v>2</v>
      </c>
      <c r="G335" s="1157">
        <v>0.47</v>
      </c>
      <c r="H335" s="1157">
        <v>0.52</v>
      </c>
    </row>
    <row r="336" spans="1:8" s="1146" customFormat="1" ht="13.5" customHeight="1" x14ac:dyDescent="0.25">
      <c r="A336" s="1157" t="s">
        <v>1127</v>
      </c>
      <c r="B336" s="1157">
        <v>1500</v>
      </c>
      <c r="C336" s="1161">
        <v>0.88</v>
      </c>
      <c r="D336" s="1157">
        <v>0.64</v>
      </c>
      <c r="E336" s="1157">
        <v>2</v>
      </c>
      <c r="F336" s="1157">
        <v>4</v>
      </c>
      <c r="G336" s="1157">
        <v>0.7</v>
      </c>
      <c r="H336" s="1157">
        <v>0.81</v>
      </c>
    </row>
    <row r="337" spans="1:10" s="1146" customFormat="1" ht="13.5" customHeight="1" x14ac:dyDescent="0.25">
      <c r="A337" s="1157" t="s">
        <v>1128</v>
      </c>
      <c r="B337" s="1860">
        <v>1400</v>
      </c>
      <c r="C337" s="1863">
        <v>0.88</v>
      </c>
      <c r="D337" s="1860">
        <v>0.52</v>
      </c>
      <c r="E337" s="1860">
        <v>2</v>
      </c>
      <c r="F337" s="1860">
        <v>4</v>
      </c>
      <c r="G337" s="1860">
        <v>0.64</v>
      </c>
      <c r="H337" s="1860">
        <v>0.76</v>
      </c>
    </row>
    <row r="338" spans="1:10" s="1146" customFormat="1" ht="13.5" customHeight="1" x14ac:dyDescent="0.25">
      <c r="A338" s="1157" t="s">
        <v>1129</v>
      </c>
      <c r="B338" s="1860"/>
      <c r="C338" s="1863"/>
      <c r="D338" s="1860"/>
      <c r="E338" s="1860"/>
      <c r="F338" s="1860"/>
      <c r="G338" s="1860"/>
      <c r="H338" s="1860"/>
    </row>
    <row r="339" spans="1:10" s="1146" customFormat="1" ht="13.5" customHeight="1" x14ac:dyDescent="0.25">
      <c r="A339" s="1861" t="s">
        <v>1130</v>
      </c>
      <c r="B339" s="1861"/>
      <c r="C339" s="1861"/>
      <c r="D339" s="1861"/>
      <c r="E339" s="1861"/>
      <c r="F339" s="1861"/>
      <c r="G339" s="1861"/>
      <c r="H339" s="1861"/>
    </row>
    <row r="340" spans="1:10" s="1146" customFormat="1" ht="13.5" customHeight="1" x14ac:dyDescent="0.25">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25">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25">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25">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25">
      <c r="A344" s="1157" t="s">
        <v>1135</v>
      </c>
      <c r="B344" s="1157">
        <v>600</v>
      </c>
      <c r="C344" s="1161">
        <v>2.2999999999999998</v>
      </c>
      <c r="D344" s="1157">
        <v>0.12</v>
      </c>
      <c r="E344" s="1157">
        <v>10</v>
      </c>
      <c r="F344" s="1157">
        <v>13</v>
      </c>
      <c r="G344" s="1157">
        <v>0.15</v>
      </c>
      <c r="H344" s="1157">
        <v>0.18</v>
      </c>
    </row>
    <row r="345" spans="1:10" s="1146" customFormat="1" ht="13.5" customHeight="1" x14ac:dyDescent="0.25">
      <c r="A345" s="1157" t="s">
        <v>1136</v>
      </c>
      <c r="B345" s="1157">
        <v>1000</v>
      </c>
      <c r="C345" s="1161">
        <v>2.2999999999999998</v>
      </c>
      <c r="D345" s="1157">
        <v>0.18</v>
      </c>
      <c r="E345" s="1157">
        <v>5</v>
      </c>
      <c r="F345" s="1157">
        <v>10</v>
      </c>
      <c r="G345" s="1157">
        <v>0.21</v>
      </c>
      <c r="H345" s="1157">
        <v>0.23</v>
      </c>
    </row>
    <row r="346" spans="1:10" s="1146" customFormat="1" ht="13.5" customHeight="1" x14ac:dyDescent="0.25">
      <c r="A346" s="1157" t="s">
        <v>1137</v>
      </c>
      <c r="B346" s="1157">
        <v>650</v>
      </c>
      <c r="C346" s="1161">
        <v>2.2999999999999998</v>
      </c>
      <c r="D346" s="1157">
        <v>0.13</v>
      </c>
      <c r="E346" s="1157">
        <v>6</v>
      </c>
      <c r="F346" s="1157">
        <v>12</v>
      </c>
      <c r="G346" s="1157">
        <v>0.15</v>
      </c>
      <c r="H346" s="1157">
        <v>0.18</v>
      </c>
    </row>
    <row r="347" spans="1:10" s="1146" customFormat="1" ht="13.5" customHeight="1" x14ac:dyDescent="0.25">
      <c r="A347" s="1862" t="s">
        <v>1138</v>
      </c>
      <c r="B347" s="1862"/>
      <c r="C347" s="1862"/>
      <c r="D347" s="1862"/>
      <c r="E347" s="1862"/>
      <c r="F347" s="1862"/>
      <c r="G347" s="1862"/>
      <c r="H347" s="1862"/>
      <c r="J347" s="1146">
        <v>4.1000000000000002E-2</v>
      </c>
    </row>
    <row r="348" spans="1:10" s="1146" customFormat="1" ht="13.5" customHeight="1" x14ac:dyDescent="0.25">
      <c r="A348" s="1861" t="s">
        <v>1139</v>
      </c>
      <c r="B348" s="1861"/>
      <c r="C348" s="1861"/>
      <c r="D348" s="1861"/>
      <c r="E348" s="1861"/>
      <c r="F348" s="1861"/>
      <c r="G348" s="1861"/>
      <c r="H348" s="1861"/>
    </row>
    <row r="349" spans="1:10" s="1146" customFormat="1" ht="13.5" customHeight="1" x14ac:dyDescent="0.25">
      <c r="A349" s="1166" t="s">
        <v>1140</v>
      </c>
      <c r="B349" s="1157">
        <v>2500</v>
      </c>
      <c r="C349" s="1157">
        <v>0.84</v>
      </c>
      <c r="D349" s="1157">
        <v>1.69</v>
      </c>
      <c r="E349" s="1157">
        <v>2</v>
      </c>
      <c r="F349" s="1157">
        <v>3</v>
      </c>
      <c r="G349" s="1157">
        <v>1.92</v>
      </c>
      <c r="H349" s="1157">
        <v>2.04</v>
      </c>
    </row>
    <row r="350" spans="1:10" s="1146" customFormat="1" ht="13.5" customHeight="1" x14ac:dyDescent="0.25">
      <c r="A350" s="1157" t="s">
        <v>1141</v>
      </c>
      <c r="B350" s="1157">
        <v>2400</v>
      </c>
      <c r="C350" s="1157">
        <v>0.84</v>
      </c>
      <c r="D350" s="1157">
        <v>1.51</v>
      </c>
      <c r="E350" s="1157">
        <v>2</v>
      </c>
      <c r="F350" s="1157">
        <v>3</v>
      </c>
      <c r="G350" s="1157">
        <v>1.74</v>
      </c>
      <c r="H350" s="1157">
        <v>1.86</v>
      </c>
    </row>
    <row r="351" spans="1:10" s="1146" customFormat="1" ht="13.5" customHeight="1" x14ac:dyDescent="0.25">
      <c r="A351" s="1157" t="s">
        <v>1142</v>
      </c>
      <c r="B351" s="1157">
        <v>1800</v>
      </c>
      <c r="C351" s="1157">
        <v>0.84</v>
      </c>
      <c r="D351" s="1157">
        <v>0.57999999999999996</v>
      </c>
      <c r="E351" s="1157">
        <v>2</v>
      </c>
      <c r="F351" s="1157">
        <v>4</v>
      </c>
      <c r="G351" s="1157">
        <v>0.76</v>
      </c>
      <c r="H351" s="1157">
        <v>0.93</v>
      </c>
    </row>
    <row r="352" spans="1:10" s="1146" customFormat="1" ht="13.5" customHeight="1" x14ac:dyDescent="0.25">
      <c r="A352" s="1157" t="s">
        <v>1143</v>
      </c>
      <c r="B352" s="1157">
        <v>1700</v>
      </c>
      <c r="C352" s="1157">
        <v>0.84</v>
      </c>
      <c r="D352" s="1157">
        <v>0.52</v>
      </c>
      <c r="E352" s="1157">
        <v>2</v>
      </c>
      <c r="F352" s="1157">
        <v>4</v>
      </c>
      <c r="G352" s="1157">
        <v>0.7</v>
      </c>
      <c r="H352" s="1157">
        <v>0.87</v>
      </c>
    </row>
    <row r="353" spans="1:8" s="1146" customFormat="1" ht="13.5" customHeight="1" x14ac:dyDescent="0.25">
      <c r="A353" s="1157" t="s">
        <v>1144</v>
      </c>
      <c r="B353" s="1157">
        <v>1600</v>
      </c>
      <c r="C353" s="1157">
        <v>0.84</v>
      </c>
      <c r="D353" s="1157">
        <v>0.47</v>
      </c>
      <c r="E353" s="1157">
        <v>2</v>
      </c>
      <c r="F353" s="1157">
        <v>4</v>
      </c>
      <c r="G353" s="1157">
        <v>0.7</v>
      </c>
      <c r="H353" s="1157">
        <v>0.81</v>
      </c>
    </row>
    <row r="354" spans="1:8" s="1146" customFormat="1" ht="13.5" customHeight="1" x14ac:dyDescent="0.25">
      <c r="A354" s="1861" t="s">
        <v>1145</v>
      </c>
      <c r="B354" s="1861"/>
      <c r="C354" s="1861"/>
      <c r="D354" s="1861"/>
      <c r="E354" s="1861"/>
      <c r="F354" s="1861"/>
      <c r="G354" s="1861"/>
      <c r="H354" s="1861"/>
    </row>
    <row r="355" spans="1:8" s="1146" customFormat="1" ht="13.5" customHeight="1" x14ac:dyDescent="0.25">
      <c r="A355" s="1157" t="s">
        <v>1146</v>
      </c>
      <c r="B355" s="1157">
        <v>2800</v>
      </c>
      <c r="C355" s="1157">
        <v>0.88</v>
      </c>
      <c r="D355" s="1157">
        <v>3.49</v>
      </c>
      <c r="E355" s="1157">
        <v>0</v>
      </c>
      <c r="F355" s="1157">
        <v>0</v>
      </c>
      <c r="G355" s="1157">
        <v>3.49</v>
      </c>
      <c r="H355" s="1157">
        <v>3.49</v>
      </c>
    </row>
    <row r="356" spans="1:8" s="1146" customFormat="1" ht="13.5" customHeight="1" x14ac:dyDescent="0.25">
      <c r="A356" s="1157" t="s">
        <v>1147</v>
      </c>
      <c r="B356" s="1157">
        <v>2800</v>
      </c>
      <c r="C356" s="1157">
        <v>0.88</v>
      </c>
      <c r="D356" s="1157">
        <v>2.91</v>
      </c>
      <c r="E356" s="1157">
        <v>0</v>
      </c>
      <c r="F356" s="1157">
        <v>0</v>
      </c>
      <c r="G356" s="1157">
        <v>2.91</v>
      </c>
      <c r="H356" s="1157">
        <v>2.91</v>
      </c>
    </row>
    <row r="357" spans="1:8" s="1146" customFormat="1" ht="13.5" customHeight="1" x14ac:dyDescent="0.25">
      <c r="A357" s="1157" t="s">
        <v>1148</v>
      </c>
      <c r="B357" s="1157">
        <v>2000</v>
      </c>
      <c r="C357" s="1157">
        <v>0.88</v>
      </c>
      <c r="D357" s="1157">
        <v>0.93</v>
      </c>
      <c r="E357" s="1157">
        <v>2</v>
      </c>
      <c r="F357" s="1157">
        <v>3</v>
      </c>
      <c r="G357" s="1157">
        <v>1.1599999999999999</v>
      </c>
      <c r="H357" s="1157">
        <v>1.28</v>
      </c>
    </row>
    <row r="358" spans="1:8" s="1146" customFormat="1" ht="13.5" customHeight="1" x14ac:dyDescent="0.25">
      <c r="A358" s="1167" t="s">
        <v>1019</v>
      </c>
      <c r="B358" s="1157">
        <v>1800</v>
      </c>
      <c r="C358" s="1157">
        <v>0.88</v>
      </c>
      <c r="D358" s="1157">
        <v>0.7</v>
      </c>
      <c r="E358" s="1157">
        <v>2</v>
      </c>
      <c r="F358" s="1157">
        <v>3</v>
      </c>
      <c r="G358" s="1157">
        <v>0.93</v>
      </c>
      <c r="H358" s="1157">
        <v>1.05</v>
      </c>
    </row>
    <row r="359" spans="1:8" s="1146" customFormat="1" ht="13.5" customHeight="1" x14ac:dyDescent="0.25">
      <c r="A359" s="1157" t="s">
        <v>1148</v>
      </c>
      <c r="B359" s="1157">
        <v>1600</v>
      </c>
      <c r="C359" s="1157">
        <v>0.88</v>
      </c>
      <c r="D359" s="1157">
        <v>0.57999999999999996</v>
      </c>
      <c r="E359" s="1157">
        <v>2</v>
      </c>
      <c r="F359" s="1157">
        <v>3</v>
      </c>
      <c r="G359" s="1157">
        <v>0.73</v>
      </c>
      <c r="H359" s="1157">
        <v>0.81</v>
      </c>
    </row>
    <row r="360" spans="1:8" s="1146" customFormat="1" ht="13.5" customHeight="1" x14ac:dyDescent="0.25">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25">
      <c r="A361" s="1157" t="s">
        <v>1149</v>
      </c>
      <c r="B361" s="1157">
        <v>2000</v>
      </c>
      <c r="C361" s="1157">
        <v>0.88</v>
      </c>
      <c r="D361" s="1157">
        <v>0.76</v>
      </c>
      <c r="E361" s="1157">
        <v>3</v>
      </c>
      <c r="F361" s="1157">
        <v>5</v>
      </c>
      <c r="G361" s="1157">
        <v>0.93</v>
      </c>
      <c r="H361" s="1157">
        <v>1.05</v>
      </c>
    </row>
    <row r="362" spans="1:8" s="1146" customFormat="1" ht="13.5" customHeight="1" x14ac:dyDescent="0.25">
      <c r="A362" s="1167" t="s">
        <v>1019</v>
      </c>
      <c r="B362" s="1157">
        <v>1800</v>
      </c>
      <c r="C362" s="1157">
        <v>0.88</v>
      </c>
      <c r="D362" s="1157">
        <v>0.56000000000000005</v>
      </c>
      <c r="E362" s="1157">
        <v>3</v>
      </c>
      <c r="F362" s="1157">
        <v>5</v>
      </c>
      <c r="G362" s="1157">
        <v>0.7</v>
      </c>
      <c r="H362" s="1157">
        <v>0.81</v>
      </c>
    </row>
    <row r="363" spans="1:8" s="1146" customFormat="1" ht="13.5" customHeight="1" x14ac:dyDescent="0.25">
      <c r="A363" s="1167" t="s">
        <v>1019</v>
      </c>
      <c r="B363" s="1157">
        <v>1600</v>
      </c>
      <c r="C363" s="1157">
        <v>0.88</v>
      </c>
      <c r="D363" s="1157">
        <v>0.41</v>
      </c>
      <c r="E363" s="1157">
        <v>3</v>
      </c>
      <c r="F363" s="1157">
        <v>5</v>
      </c>
      <c r="G363" s="1157">
        <v>0.52</v>
      </c>
      <c r="H363" s="1157">
        <v>0.64</v>
      </c>
    </row>
    <row r="364" spans="1:8" s="1146" customFormat="1" ht="13.5" customHeight="1" x14ac:dyDescent="0.25">
      <c r="A364" s="1167" t="s">
        <v>1019</v>
      </c>
      <c r="B364" s="1157">
        <v>1400</v>
      </c>
      <c r="C364" s="1157">
        <v>0.88</v>
      </c>
      <c r="D364" s="1157">
        <v>0.33</v>
      </c>
      <c r="E364" s="1157">
        <v>3</v>
      </c>
      <c r="F364" s="1157">
        <v>5</v>
      </c>
      <c r="G364" s="1157">
        <v>0.43</v>
      </c>
      <c r="H364" s="1157">
        <v>0.52</v>
      </c>
    </row>
    <row r="365" spans="1:8" s="1146" customFormat="1" ht="13.5" customHeight="1" x14ac:dyDescent="0.25">
      <c r="A365" s="1167" t="s">
        <v>1019</v>
      </c>
      <c r="B365" s="1157">
        <v>1200</v>
      </c>
      <c r="C365" s="1157">
        <v>0.88</v>
      </c>
      <c r="D365" s="1157">
        <v>0.27</v>
      </c>
      <c r="E365" s="1157">
        <v>3</v>
      </c>
      <c r="F365" s="1157">
        <v>5</v>
      </c>
      <c r="G365" s="1157">
        <v>0.35</v>
      </c>
      <c r="H365" s="1157">
        <v>0.41</v>
      </c>
    </row>
    <row r="366" spans="1:8" s="1146" customFormat="1" ht="13.5" customHeight="1" x14ac:dyDescent="0.25">
      <c r="A366" s="1167" t="s">
        <v>1019</v>
      </c>
      <c r="B366" s="1157">
        <v>1000</v>
      </c>
      <c r="C366" s="1157">
        <v>0.88</v>
      </c>
      <c r="D366" s="1157">
        <v>0.21</v>
      </c>
      <c r="E366" s="1157">
        <v>3</v>
      </c>
      <c r="F366" s="1157">
        <v>5</v>
      </c>
      <c r="G366" s="1157">
        <v>0.24</v>
      </c>
      <c r="H366" s="1157">
        <v>0.28999999999999998</v>
      </c>
    </row>
    <row r="367" spans="1:8" s="1146" customFormat="1" ht="13.5" customHeight="1" x14ac:dyDescent="0.25">
      <c r="A367" s="1866" t="s">
        <v>1150</v>
      </c>
      <c r="B367" s="1866"/>
      <c r="C367" s="1866"/>
      <c r="D367" s="1866"/>
      <c r="E367" s="1866"/>
      <c r="F367" s="1866"/>
      <c r="G367" s="1866"/>
      <c r="H367" s="1866"/>
    </row>
    <row r="368" spans="1:8" s="1146" customFormat="1" ht="13.5" customHeight="1" x14ac:dyDescent="0.25">
      <c r="A368" s="1157" t="s">
        <v>1151</v>
      </c>
      <c r="B368" s="1157">
        <v>1800</v>
      </c>
      <c r="C368" s="1157">
        <v>0.84</v>
      </c>
      <c r="D368" s="1157">
        <v>0.35</v>
      </c>
      <c r="E368" s="1157">
        <v>2</v>
      </c>
      <c r="F368" s="1157">
        <v>3</v>
      </c>
      <c r="G368" s="1157">
        <v>0.47</v>
      </c>
      <c r="H368" s="1157">
        <v>0.52</v>
      </c>
    </row>
    <row r="369" spans="1:15" s="1146" customFormat="1" ht="13.5" customHeight="1" x14ac:dyDescent="0.25">
      <c r="A369" s="1157" t="s">
        <v>1022</v>
      </c>
      <c r="B369" s="1157">
        <v>1600</v>
      </c>
      <c r="C369" s="1157">
        <v>0.84</v>
      </c>
      <c r="D369" s="1157">
        <v>0.23</v>
      </c>
      <c r="E369" s="1157">
        <v>2</v>
      </c>
      <c r="F369" s="1157">
        <v>3</v>
      </c>
      <c r="G369" s="1157">
        <v>0.35</v>
      </c>
      <c r="H369" s="1157">
        <v>0.41</v>
      </c>
    </row>
    <row r="370" spans="1:15" ht="24" x14ac:dyDescent="0.25">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2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2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2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25">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25">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2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25">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2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2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25">
      <c r="A380" s="1861" t="s">
        <v>1157</v>
      </c>
      <c r="B380" s="1861"/>
      <c r="C380" s="1861"/>
      <c r="D380" s="1861"/>
      <c r="E380" s="1861"/>
      <c r="F380" s="1861"/>
      <c r="G380" s="1861"/>
      <c r="H380" s="1861"/>
      <c r="I380" s="1146"/>
      <c r="J380" s="1146"/>
      <c r="K380" s="1146"/>
      <c r="L380" s="1146"/>
      <c r="M380" s="1146"/>
      <c r="N380" s="1146"/>
      <c r="O380" s="1146"/>
    </row>
    <row r="381" spans="1:15" ht="24" x14ac:dyDescent="0.25">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2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2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2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2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25">
      <c r="A389" s="1168"/>
    </row>
    <row r="390" spans="1:15" x14ac:dyDescent="0.25">
      <c r="A390" s="1168" t="s">
        <v>1513</v>
      </c>
    </row>
    <row r="391" spans="1:15" x14ac:dyDescent="0.25">
      <c r="A391" s="1169"/>
      <c r="B391" s="95" t="s">
        <v>1504</v>
      </c>
      <c r="C391" s="95" t="s">
        <v>1505</v>
      </c>
      <c r="D391" s="95" t="s">
        <v>1506</v>
      </c>
      <c r="E391" s="95" t="s">
        <v>1507</v>
      </c>
    </row>
    <row r="392" spans="1:15" x14ac:dyDescent="0.25">
      <c r="A392" s="1169">
        <v>2000</v>
      </c>
      <c r="B392" s="95">
        <v>1.2</v>
      </c>
      <c r="C392" s="95">
        <v>1.8</v>
      </c>
      <c r="D392" s="95">
        <v>1.6</v>
      </c>
      <c r="E392" s="95">
        <v>0.35</v>
      </c>
    </row>
    <row r="393" spans="1:15" x14ac:dyDescent="0.25">
      <c r="A393" s="1169">
        <v>4000</v>
      </c>
      <c r="B393" s="95">
        <v>1.6</v>
      </c>
      <c r="C393" s="95">
        <v>2.5</v>
      </c>
      <c r="D393" s="95">
        <v>2.2000000000000002</v>
      </c>
      <c r="E393" s="95">
        <v>0.4</v>
      </c>
    </row>
    <row r="394" spans="1:15" x14ac:dyDescent="0.25">
      <c r="A394" s="1169">
        <v>6000</v>
      </c>
      <c r="B394" s="95">
        <v>2</v>
      </c>
      <c r="C394" s="95">
        <v>3.2</v>
      </c>
      <c r="D394" s="95">
        <v>2.8</v>
      </c>
      <c r="E394" s="95">
        <v>0.45</v>
      </c>
    </row>
    <row r="395" spans="1:15" x14ac:dyDescent="0.25">
      <c r="A395" s="1169">
        <v>8000</v>
      </c>
      <c r="B395" s="95">
        <v>2.4</v>
      </c>
      <c r="C395" s="95">
        <v>3.9</v>
      </c>
      <c r="D395" s="95">
        <v>3.4</v>
      </c>
      <c r="E395" s="95">
        <v>0.5</v>
      </c>
    </row>
    <row r="396" spans="1:15" x14ac:dyDescent="0.25">
      <c r="A396" s="1169">
        <v>10000</v>
      </c>
      <c r="B396" s="95">
        <v>2.8</v>
      </c>
      <c r="C396" s="95">
        <v>4.5999999999999996</v>
      </c>
      <c r="D396" s="95">
        <v>4</v>
      </c>
      <c r="E396" s="95">
        <v>0.55000000000000004</v>
      </c>
    </row>
    <row r="397" spans="1:15" x14ac:dyDescent="0.25">
      <c r="A397" s="1169">
        <v>12000</v>
      </c>
      <c r="B397" s="95">
        <v>3.2</v>
      </c>
      <c r="C397" s="95">
        <v>5.3</v>
      </c>
      <c r="D397" s="95">
        <v>4.5999999999999996</v>
      </c>
      <c r="E397" s="95">
        <v>0.6</v>
      </c>
    </row>
    <row r="398" spans="1:15" x14ac:dyDescent="0.25">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2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25">
      <c r="A400" s="1168" t="s">
        <v>1514</v>
      </c>
    </row>
    <row r="401" spans="1:5" x14ac:dyDescent="0.25">
      <c r="A401" s="1169"/>
      <c r="B401" s="95" t="s">
        <v>1504</v>
      </c>
      <c r="C401" s="95" t="s">
        <v>1505</v>
      </c>
      <c r="D401" s="95" t="s">
        <v>1506</v>
      </c>
      <c r="E401" s="95" t="s">
        <v>1507</v>
      </c>
    </row>
    <row r="402" spans="1:5" x14ac:dyDescent="0.25">
      <c r="A402" s="1169">
        <v>2000</v>
      </c>
      <c r="B402" s="95">
        <v>2.1</v>
      </c>
      <c r="C402" s="95">
        <v>3.2</v>
      </c>
      <c r="D402" s="95">
        <v>2.8</v>
      </c>
      <c r="E402" s="95">
        <v>0.35</v>
      </c>
    </row>
    <row r="403" spans="1:5" x14ac:dyDescent="0.25">
      <c r="A403" s="1169">
        <v>4000</v>
      </c>
      <c r="B403" s="95">
        <v>2.8</v>
      </c>
      <c r="C403" s="95">
        <v>4.2</v>
      </c>
      <c r="D403" s="95">
        <v>3.7</v>
      </c>
      <c r="E403" s="95">
        <v>0.4</v>
      </c>
    </row>
    <row r="404" spans="1:5" x14ac:dyDescent="0.25">
      <c r="A404" s="1169">
        <v>6000</v>
      </c>
      <c r="B404" s="95">
        <v>3.5</v>
      </c>
      <c r="C404" s="95">
        <v>5.2</v>
      </c>
      <c r="D404" s="95">
        <v>4.5999999999999996</v>
      </c>
      <c r="E404" s="95">
        <v>0.45</v>
      </c>
    </row>
    <row r="405" spans="1:5" x14ac:dyDescent="0.25">
      <c r="A405" s="1169">
        <v>8000</v>
      </c>
      <c r="B405" s="95">
        <v>4.2</v>
      </c>
      <c r="C405" s="95">
        <v>6.2</v>
      </c>
      <c r="D405" s="95">
        <v>5.5</v>
      </c>
      <c r="E405" s="95">
        <v>0.5</v>
      </c>
    </row>
    <row r="406" spans="1:5" x14ac:dyDescent="0.25">
      <c r="A406" s="1169">
        <v>10000</v>
      </c>
      <c r="B406" s="95">
        <v>4.9000000000000004</v>
      </c>
      <c r="C406" s="95">
        <v>7.2</v>
      </c>
      <c r="D406" s="95">
        <v>6.4</v>
      </c>
      <c r="E406" s="95">
        <v>0.55000000000000004</v>
      </c>
    </row>
    <row r="407" spans="1:5" x14ac:dyDescent="0.25">
      <c r="A407" s="1169">
        <v>12000</v>
      </c>
      <c r="B407" s="95">
        <v>5.6</v>
      </c>
      <c r="C407" s="95">
        <v>8.1999999999999993</v>
      </c>
      <c r="D407" s="95">
        <v>7.3</v>
      </c>
      <c r="E407" s="95">
        <v>0.6</v>
      </c>
    </row>
    <row r="408" spans="1:5" x14ac:dyDescent="0.25">
      <c r="B408" s="75">
        <f>SLOPE(B402:B407,$A$402:$A$407)</f>
        <v>3.5E-4</v>
      </c>
      <c r="C408" s="75">
        <f t="shared" ref="C408:E408" si="12">SLOPE(C402:C407,$A$402:$A$407)</f>
        <v>5.0000000000000001E-4</v>
      </c>
      <c r="D408" s="75">
        <f t="shared" si="12"/>
        <v>4.4999999999999999E-4</v>
      </c>
      <c r="E408" s="75">
        <f t="shared" si="12"/>
        <v>2.5000000000000001E-5</v>
      </c>
    </row>
    <row r="409" spans="1:5" x14ac:dyDescent="0.25">
      <c r="B409" s="75">
        <f>INTERCEPT(B402:B407,$A$402:$A$407)</f>
        <v>1.4</v>
      </c>
      <c r="C409" s="75">
        <f t="shared" ref="C409:E409" si="13">INTERCEPT(C402:C407,$A$402:$A$407)</f>
        <v>2.2000000000000002</v>
      </c>
      <c r="D409" s="75">
        <f t="shared" si="13"/>
        <v>1.9</v>
      </c>
      <c r="E409" s="75">
        <f t="shared" si="13"/>
        <v>0.30000000000000004</v>
      </c>
    </row>
    <row r="410" spans="1:5" x14ac:dyDescent="0.25">
      <c r="A410" s="101" t="s">
        <v>1508</v>
      </c>
    </row>
    <row r="411" spans="1:5" x14ac:dyDescent="0.25">
      <c r="A411" s="95"/>
      <c r="B411" s="95" t="s">
        <v>1511</v>
      </c>
      <c r="C411" s="95" t="s">
        <v>1512</v>
      </c>
    </row>
    <row r="412" spans="1:5" x14ac:dyDescent="0.25">
      <c r="A412" s="95" t="s">
        <v>514</v>
      </c>
      <c r="B412" s="285">
        <f>B399+B398*Климатология!$I$2</f>
        <v>2.0420199999999999</v>
      </c>
      <c r="C412" s="285">
        <f>B409+B408*Климатология!$I$2</f>
        <v>3.5735350000000001</v>
      </c>
    </row>
    <row r="413" spans="1:5" x14ac:dyDescent="0.25">
      <c r="A413" s="95" t="s">
        <v>1505</v>
      </c>
      <c r="B413" s="285">
        <f>C399+C398*Климатология!$I$2</f>
        <v>3.2735350000000003</v>
      </c>
      <c r="C413" s="285">
        <f>C409+C408*Климатология!$I$2</f>
        <v>5.3050500000000005</v>
      </c>
    </row>
    <row r="414" spans="1:5" x14ac:dyDescent="0.25">
      <c r="A414" s="95" t="s">
        <v>1506</v>
      </c>
      <c r="B414" s="285">
        <f>D399+D398*Климатология!$I$2</f>
        <v>2.8630300000000002</v>
      </c>
      <c r="C414" s="285">
        <f>D409+D408*Климатология!$I$2</f>
        <v>4.6945449999999997</v>
      </c>
    </row>
    <row r="415" spans="1:5" x14ac:dyDescent="0.25">
      <c r="A415" s="95" t="s">
        <v>1507</v>
      </c>
      <c r="B415" s="285">
        <f>E399+E398*Климатология!$I$2</f>
        <v>0.45525250000000006</v>
      </c>
      <c r="C415" s="285">
        <f>E409+E408*Климатология!$I$2</f>
        <v>0.45525250000000006</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40625"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71" t="s">
        <v>897</v>
      </c>
      <c r="G2" s="1872"/>
      <c r="H2" s="1871" t="s">
        <v>898</v>
      </c>
      <c r="I2" s="1872"/>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1</v>
      </c>
      <c r="D8" s="75">
        <f>IF(AND($H$9=1,$H$11=0,$H$4=1),1,0)</f>
        <v>0</v>
      </c>
      <c r="E8" s="83" t="s">
        <v>739</v>
      </c>
      <c r="F8" s="79">
        <v>1</v>
      </c>
      <c r="G8" s="79"/>
      <c r="H8" s="79"/>
      <c r="I8" s="80"/>
    </row>
    <row r="9" spans="1:60" ht="23.45" customHeight="1" x14ac:dyDescent="0.25">
      <c r="A9" s="81" t="s">
        <v>773</v>
      </c>
      <c r="B9" s="82">
        <f>0.5</f>
        <v>0.5</v>
      </c>
      <c r="C9" s="75">
        <f>IF(AND($F$10=1,$F$11=0,$F$4=1),1,0)</f>
        <v>0</v>
      </c>
      <c r="D9" s="75">
        <f>IF(AND($H$10=1,$H$11=0,$H$4=1),1,0)</f>
        <v>0</v>
      </c>
      <c r="E9" s="83" t="s">
        <v>737</v>
      </c>
      <c r="F9" s="79">
        <f>IF(F8=1,1,0)</f>
        <v>1</v>
      </c>
      <c r="G9" s="79"/>
      <c r="H9" s="79">
        <f>F9</f>
        <v>1</v>
      </c>
      <c r="I9" s="80"/>
    </row>
    <row r="10" spans="1:60" ht="21" customHeight="1" x14ac:dyDescent="0.25">
      <c r="A10" s="81" t="s">
        <v>774</v>
      </c>
      <c r="B10" s="82">
        <f>0.85</f>
        <v>0.85</v>
      </c>
      <c r="C10" s="75">
        <f>IF(AND($F$9=1,$F$11=1,$F$4=1),1,0)</f>
        <v>0</v>
      </c>
      <c r="D10" s="75">
        <f>IF(AND($H$9=1,$H$11=1,$H$4=1),1,0)</f>
        <v>0</v>
      </c>
      <c r="E10" s="83" t="s">
        <v>738</v>
      </c>
      <c r="F10" s="79">
        <f>IF(F8=2,1,0)</f>
        <v>0</v>
      </c>
      <c r="G10" s="79"/>
      <c r="H10" s="79">
        <f>F10</f>
        <v>0</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1</v>
      </c>
      <c r="E12" s="84"/>
    </row>
    <row r="13" spans="1:60" ht="29.45" customHeight="1" x14ac:dyDescent="0.25">
      <c r="A13" s="81" t="s">
        <v>777</v>
      </c>
      <c r="B13" s="82">
        <f>0.7</f>
        <v>0.7</v>
      </c>
      <c r="C13" s="75">
        <f>IF(AND($F$10=1,$F$11=0,$F$5=1),1,0)</f>
        <v>0</v>
      </c>
      <c r="D13" s="75">
        <f>IF(AND($H$10=1,$H$11=0,$H$5=1),1,0)</f>
        <v>0</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1458</v>
      </c>
      <c r="B22" s="89" t="s">
        <v>1459</v>
      </c>
      <c r="C22" s="75" t="s">
        <v>899</v>
      </c>
      <c r="E22" s="84" t="s">
        <v>900</v>
      </c>
    </row>
    <row r="23" spans="1:5" ht="27.95" customHeight="1" x14ac:dyDescent="0.25">
      <c r="A23" s="81" t="s">
        <v>1460</v>
      </c>
      <c r="B23" s="82">
        <f>1.13</f>
        <v>1.1299999999999999</v>
      </c>
      <c r="C23" s="75">
        <f>IF(AND(списки!D34=0,'Ввод исходных данных'!D17&gt;4),1,0)</f>
        <v>1</v>
      </c>
      <c r="E23" s="84">
        <f>IF(AND(списки!D32=0,списки!D34=0,'Ввод исходных данных'!D17&gt;4),1,0)</f>
        <v>0</v>
      </c>
    </row>
    <row r="24" spans="1:5" ht="27.95" customHeight="1" x14ac:dyDescent="0.25">
      <c r="A24" s="81" t="s">
        <v>1461</v>
      </c>
      <c r="B24" s="82">
        <f>1.11</f>
        <v>1.1100000000000001</v>
      </c>
      <c r="C24" s="75">
        <f>IF(AND(списки!D34=0,'Ввод исходных данных'!D19&gt;=9,'Ввод исходных данных'!D17=1),1,0)</f>
        <v>0</v>
      </c>
      <c r="E24" s="84"/>
    </row>
    <row r="25" spans="1:5" ht="27.95" customHeight="1" x14ac:dyDescent="0.25">
      <c r="A25" s="81" t="s">
        <v>1626</v>
      </c>
      <c r="B25" s="82">
        <v>1.0900000000000001</v>
      </c>
      <c r="C25" s="75">
        <f>IF(AND(списки!D34=0,'Ввод исходных данных'!D19&lt;9,'Ввод исходных данных'!D17&lt;=4),1,0)</f>
        <v>0</v>
      </c>
      <c r="E25" s="84"/>
    </row>
    <row r="26" spans="1:5" ht="27.95" customHeight="1" x14ac:dyDescent="0.25">
      <c r="A26" s="81" t="s">
        <v>1627</v>
      </c>
      <c r="B26" s="82">
        <f>1.07</f>
        <v>1.07</v>
      </c>
      <c r="C26" s="75">
        <f>IF(списки!D34=1,1,0)</f>
        <v>0</v>
      </c>
      <c r="E26" s="84"/>
    </row>
    <row r="27" spans="1:5" ht="27.95" customHeight="1" x14ac:dyDescent="0.25">
      <c r="A27" s="81" t="s">
        <v>1628</v>
      </c>
      <c r="B27" s="82">
        <f>1.05</f>
        <v>1.05</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40625"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1342</v>
      </c>
      <c r="F4" s="75" t="s">
        <v>1387</v>
      </c>
    </row>
    <row r="5" spans="1:61" x14ac:dyDescent="0.25">
      <c r="A5" s="95"/>
      <c r="B5" s="96" t="s">
        <v>977</v>
      </c>
      <c r="C5" s="95">
        <v>0.15</v>
      </c>
      <c r="D5" s="75">
        <v>11</v>
      </c>
    </row>
    <row r="6" spans="1:61" x14ac:dyDescent="0.25">
      <c r="A6" s="95"/>
      <c r="B6" s="96" t="s">
        <v>1318</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1343</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1494</v>
      </c>
      <c r="D17" s="100"/>
      <c r="E17" s="100"/>
      <c r="F17" s="100"/>
    </row>
    <row r="18" spans="1:6" ht="13.5" customHeight="1" x14ac:dyDescent="0.25">
      <c r="A18" s="101" t="s">
        <v>984</v>
      </c>
      <c r="B18" s="102">
        <f>'Ввод исходных данных'!G131*'Ввод исходных данных'!H131*'Ввод исходных данных'!D131/1000</f>
        <v>1635.2</v>
      </c>
      <c r="C18" s="100"/>
      <c r="D18" s="100"/>
      <c r="E18" s="100"/>
      <c r="F18" s="100"/>
    </row>
    <row r="19" spans="1:6" ht="13.5" customHeight="1" x14ac:dyDescent="0.25">
      <c r="A19" s="101" t="s">
        <v>985</v>
      </c>
      <c r="B19" s="102">
        <f>'Ввод исходных данных'!G132*'Ввод исходных данных'!H132*'Ввод исходных данных'!D132/1000</f>
        <v>8409.6</v>
      </c>
      <c r="C19" s="100"/>
      <c r="D19" s="100"/>
      <c r="E19" s="100"/>
      <c r="F19" s="100"/>
    </row>
    <row r="20" spans="1:6" ht="13.5" customHeight="1" x14ac:dyDescent="0.25">
      <c r="A20" s="101" t="s">
        <v>1468</v>
      </c>
      <c r="B20" s="102">
        <f>'Ввод исходных данных'!G133*'Ввод исходных данных'!H133*'Ввод исходных данных'!D133/1000</f>
        <v>6307.2</v>
      </c>
      <c r="C20" s="100"/>
      <c r="D20" s="100"/>
      <c r="E20" s="100"/>
      <c r="F20" s="100"/>
    </row>
    <row r="21" spans="1:6" ht="13.5" customHeight="1" x14ac:dyDescent="0.25">
      <c r="A21" s="101" t="s">
        <v>1469</v>
      </c>
      <c r="B21" s="103">
        <f>'Ввод исходных данных'!G134*'Ввод исходных данных'!H134*'Ввод исходных данных'!D134/1000</f>
        <v>300</v>
      </c>
      <c r="C21" s="100"/>
      <c r="D21" s="100"/>
      <c r="E21" s="100"/>
      <c r="F21" s="100"/>
    </row>
    <row r="22" spans="1:6" ht="13.5" customHeight="1" x14ac:dyDescent="0.25">
      <c r="A22" s="100"/>
      <c r="B22" s="103">
        <f>'Ввод исходных данных'!G135*'Ввод исходных данных'!H135*'Ввод исходных данных'!D135/1000</f>
        <v>100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6" t="s">
        <v>823</v>
      </c>
    </row>
    <row r="29" spans="1:6" x14ac:dyDescent="0.25">
      <c r="A29" s="112" t="s">
        <v>832</v>
      </c>
      <c r="B29" s="116">
        <f>6.5</f>
        <v>6.5</v>
      </c>
      <c r="C29" s="1877" t="s">
        <v>831</v>
      </c>
      <c r="D29" s="117"/>
      <c r="E29" s="1876"/>
    </row>
    <row r="30" spans="1:6" x14ac:dyDescent="0.25">
      <c r="A30" s="118" t="s">
        <v>833</v>
      </c>
      <c r="B30" s="116">
        <f>25.2</f>
        <v>25.2</v>
      </c>
      <c r="C30" s="1877"/>
      <c r="D30" s="117"/>
      <c r="E30" s="1876"/>
    </row>
    <row r="31" spans="1:6" ht="25.5" customHeight="1" x14ac:dyDescent="0.25">
      <c r="A31" s="119" t="s">
        <v>973</v>
      </c>
      <c r="B31" s="120">
        <f>11</f>
        <v>11</v>
      </c>
      <c r="C31" s="1878"/>
      <c r="D31" s="121"/>
      <c r="E31" s="1876"/>
    </row>
    <row r="32" spans="1:6" x14ac:dyDescent="0.25">
      <c r="A32" s="90"/>
      <c r="B32" s="119"/>
      <c r="C32" s="119"/>
      <c r="D32" s="119"/>
      <c r="E32" s="94"/>
    </row>
    <row r="33" spans="1:23" x14ac:dyDescent="0.25">
      <c r="A33" s="90" t="s">
        <v>866</v>
      </c>
      <c r="B33" s="91"/>
      <c r="C33" s="92" t="s">
        <v>899</v>
      </c>
      <c r="D33" s="93" t="s">
        <v>900</v>
      </c>
      <c r="E33" s="94"/>
      <c r="G33" s="75">
        <f>C34*0.86/1000</f>
        <v>0.54352641526017953</v>
      </c>
    </row>
    <row r="34" spans="1:23" x14ac:dyDescent="0.25">
      <c r="A34" s="90"/>
      <c r="B34" s="91" t="s">
        <v>1599</v>
      </c>
      <c r="C34" s="122">
        <f>('Расчет базового уровня'!F144+'Расчет базового уровня'!F151-'Расчет базового уровня'!F148)*'Расчет базового уровня'!D158</f>
        <v>632.00745960485995</v>
      </c>
      <c r="D34" s="123">
        <f>('Расчет после реализации'!F144+'Расчет после реализации'!F151-'Расчет после реализации'!F148)*'Расчет после реализации'!D158</f>
        <v>972.54885801836269</v>
      </c>
      <c r="E34" s="75" t="s">
        <v>1603</v>
      </c>
    </row>
    <row r="35" spans="1:23" x14ac:dyDescent="0.25">
      <c r="A35" s="90">
        <f>C35*$C$43*0.00272/$C$44</f>
        <v>0.50519322811843181</v>
      </c>
      <c r="B35" s="91" t="s">
        <v>1601</v>
      </c>
      <c r="C35" s="124">
        <f>3.6*C34/('Ввод исходных данных'!$D$177-'Ввод исходных данных'!$D$178)/4.2</f>
        <v>21.668827186452344</v>
      </c>
      <c r="D35" s="124">
        <f>3.6*D34/('Ввод исходных данных'!$D$177-'Ввод исходных данных'!$D$178)/4.2</f>
        <v>33.344532274915288</v>
      </c>
      <c r="E35" s="93" t="s">
        <v>885</v>
      </c>
    </row>
    <row r="36" spans="1:23" x14ac:dyDescent="0.25">
      <c r="A36" s="77" t="s">
        <v>867</v>
      </c>
      <c r="B36" s="91" t="s">
        <v>1602</v>
      </c>
      <c r="C36" s="125">
        <f>C35*$C$43*0.00272/$C$44*(24*'Ввод исходных данных'!D246)</f>
        <v>2679.5448819401622</v>
      </c>
      <c r="D36" s="125">
        <f>D35*$C$43*0.00272/$C$44*(24*'Ввод исходных данных'!D246)</f>
        <v>4123.3505638828283</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f>'Расчет базового уровня'!O35/('Ввод исходных данных'!$D$177-'Ввод исходных данных'!$D$178)/4.2*3.6</f>
        <v>10290.176215539908</v>
      </c>
      <c r="H40" s="141">
        <f>'Расчет базового уровня'!R35/('Ввод исходных данных'!$D$177-'Ввод исходных данных'!$D$178)/4.2*3.6</f>
        <v>5644.4931113096945</v>
      </c>
      <c r="I40" s="141">
        <f>'Расчет базового уровня'!U35/('Ввод исходных данных'!$D$177-'Ввод исходных данных'!$D$178)/4.2*3.6</f>
        <v>10.174747576798421</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598.22647602838481</v>
      </c>
      <c r="N40" s="141">
        <f>'Расчет базового уровня'!AJ35/('Ввод исходных данных'!$D$177-'Ввод исходных данных'!$D$178)/4.2*3.6</f>
        <v>5759.7975341269566</v>
      </c>
      <c r="O40" s="141">
        <f>'Расчет базового уровня'!AM35/('Ввод исходных данных'!$D$177-'Ввод исходных данных'!$D$178)/4.2*3.6</f>
        <v>9551.2782608828184</v>
      </c>
      <c r="P40" s="141">
        <f>'Расчет базового уровня'!AP35/('Ввод исходных данных'!$D$177-'Ввод исходных данных'!$D$178)/4.2*3.6</f>
        <v>12855.36049256865</v>
      </c>
    </row>
    <row r="41" spans="1:23" ht="22.5" customHeight="1" x14ac:dyDescent="0.25">
      <c r="A41" s="142" t="s">
        <v>1388</v>
      </c>
      <c r="B41" s="134" t="s">
        <v>494</v>
      </c>
      <c r="C41" s="143">
        <f>'Расчет базового уровня'!C35/('Ввод исходных данных'!D177-'Ввод исходных данных'!D178)/4.2*3.6</f>
        <v>72459.623683777594</v>
      </c>
      <c r="D41" s="136" t="s">
        <v>877</v>
      </c>
      <c r="E41" s="141">
        <f>'Расчет базового уровня'!I35/('Ввод исходных данных'!$D$177-'Ввод исходных данных'!$D$178)/4.2*3.6</f>
        <v>14032.822127926109</v>
      </c>
      <c r="F41" s="141">
        <f>'Расчет базового уровня'!L35/('Ввод исходных данных'!$D$177-'Ввод исходных данных'!$D$178)/4.2*3.6</f>
        <v>12067.084948910058</v>
      </c>
      <c r="G41" s="144">
        <f>'Расчет после реализации'!N35/('Ввод исходных данных'!$D$177-'Ввод исходных данных'!$D$178)/4.2*3.6</f>
        <v>9958.8274128429803</v>
      </c>
      <c r="H41" s="144">
        <f>'Расчет после реализации'!P35/('Ввод исходных данных'!$D$177-'Ввод исходных данных'!$D$178)/4.2*3.6</f>
        <v>4610.3469453407433</v>
      </c>
      <c r="I41" s="144">
        <f>'Расчет после реализации'!R35/('Ввод исходных данных'!$D$177-'Ввод исходных данных'!$D$178)/4.2*3.6</f>
        <v>983.98725878360585</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7114.2062166963688</v>
      </c>
      <c r="O41" s="144">
        <f>'Расчет после реализации'!AD35/('Ввод исходных данных'!$D$177-'Ввод исходных данных'!$D$178)/4.2*3.6</f>
        <v>11806.184051469803</v>
      </c>
      <c r="P41" s="144">
        <f>'Расчет после реализации'!AF35/('Ввод исходных данных'!$D$177-'Ввод исходных данных'!$D$178)/4.2*3.6</f>
        <v>11949.140759909729</v>
      </c>
      <c r="Q41" s="144"/>
      <c r="R41" s="144"/>
      <c r="S41" s="144"/>
      <c r="T41" s="144"/>
      <c r="U41" s="144"/>
      <c r="V41" s="144"/>
      <c r="W41" s="144"/>
    </row>
    <row r="42" spans="1:23" ht="24" customHeight="1" x14ac:dyDescent="0.25">
      <c r="A42" s="145" t="s">
        <v>878</v>
      </c>
      <c r="B42" s="146"/>
      <c r="C42" s="144">
        <f>'Расчет после реализации'!D35/('Ввод исходных данных'!$D$177-'Ввод исходных данных'!$D$178)/4.2*3.6</f>
        <v>71211.906798241151</v>
      </c>
      <c r="D42" s="147"/>
      <c r="E42" s="144">
        <f>'Расчет после реализации'!J35/('Ввод исходных данных'!$D$177-'Ввод исходных данных'!$D$178)/4.2*3.6</f>
        <v>12832.053349892363</v>
      </c>
      <c r="F42" s="144">
        <f>'Расчет после реализации'!L35/('Ввод исходных данных'!$D$177-'Ввод исходных данных'!$D$178)/4.2*3.6</f>
        <v>11756.501499027432</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1607</v>
      </c>
      <c r="B46" s="134" t="s">
        <v>883</v>
      </c>
      <c r="C46" s="139">
        <f>$C$43*0.00272/$C$44</f>
        <v>2.3314285714285718E-2</v>
      </c>
      <c r="D46" s="151"/>
      <c r="E46" s="99"/>
      <c r="F46" s="99"/>
      <c r="G46" s="157">
        <f t="shared" ref="G46:P46" si="0">0.00272*G40*10/$C$44</f>
        <v>399.84684723240792</v>
      </c>
      <c r="H46" s="157">
        <f t="shared" si="0"/>
        <v>219.32887518231959</v>
      </c>
      <c r="I46" s="157">
        <f t="shared" si="0"/>
        <v>0.39536162012702436</v>
      </c>
      <c r="J46" s="157">
        <f t="shared" si="0"/>
        <v>0</v>
      </c>
      <c r="K46" s="157">
        <f t="shared" si="0"/>
        <v>0</v>
      </c>
      <c r="L46" s="157">
        <f t="shared" si="0"/>
        <v>0</v>
      </c>
      <c r="M46" s="157">
        <f t="shared" si="0"/>
        <v>23.245371639960098</v>
      </c>
      <c r="N46" s="157">
        <f t="shared" si="0"/>
        <v>223.80927561179035</v>
      </c>
      <c r="O46" s="157">
        <f t="shared" si="0"/>
        <v>371.1353838514467</v>
      </c>
      <c r="P46" s="157">
        <f t="shared" si="0"/>
        <v>499.52257913981049</v>
      </c>
    </row>
    <row r="47" spans="1:23" x14ac:dyDescent="0.25">
      <c r="A47" s="158" t="s">
        <v>1388</v>
      </c>
      <c r="B47" s="134" t="s">
        <v>842</v>
      </c>
      <c r="C47" s="157">
        <f>0.00272*C41*10/$C$44</f>
        <v>2815.5739488553581</v>
      </c>
      <c r="D47" s="159"/>
      <c r="E47" s="157">
        <f>0.00272*E41*10/$C$44</f>
        <v>545.27537411370031</v>
      </c>
      <c r="F47" s="157">
        <f>0.00272*F41*10/$C$44</f>
        <v>468.89244372907655</v>
      </c>
      <c r="G47" s="157">
        <f t="shared" ref="G47:P47" si="1">0.00272*G41*10/$C$44</f>
        <v>386.97157947047015</v>
      </c>
      <c r="H47" s="157">
        <f t="shared" si="1"/>
        <v>179.14490987609747</v>
      </c>
      <c r="I47" s="157">
        <f t="shared" si="1"/>
        <v>38.234933484162973</v>
      </c>
      <c r="J47" s="157">
        <f t="shared" si="1"/>
        <v>0</v>
      </c>
      <c r="K47" s="157">
        <f t="shared" si="1"/>
        <v>0</v>
      </c>
      <c r="L47" s="157">
        <f t="shared" si="1"/>
        <v>0</v>
      </c>
      <c r="M47" s="157">
        <f t="shared" si="1"/>
        <v>0</v>
      </c>
      <c r="N47" s="157">
        <f t="shared" si="1"/>
        <v>276.43772727734466</v>
      </c>
      <c r="O47" s="157">
        <f t="shared" si="1"/>
        <v>458.75458028568391</v>
      </c>
      <c r="P47" s="157">
        <f t="shared" si="1"/>
        <v>464.30946952792101</v>
      </c>
    </row>
    <row r="48" spans="1:23" ht="25.5" x14ac:dyDescent="0.25">
      <c r="A48" s="156" t="s">
        <v>1608</v>
      </c>
      <c r="B48" s="134"/>
      <c r="C48" s="157">
        <f>0.00272*C42*10/$C$44</f>
        <v>2767.0912355887995</v>
      </c>
      <c r="D48" s="159"/>
      <c r="E48" s="157">
        <f>0.00272*E42*10/$C$44</f>
        <v>498.61693016724615</v>
      </c>
      <c r="F48" s="157">
        <f>0.00272*F42*10/$C$44</f>
        <v>456.82405824792312</v>
      </c>
      <c r="G48" s="160">
        <f>$C$35*$C$43*0.00272/$C$44*(24*'Расчет после реализации'!I146)</f>
        <v>375.86376172011325</v>
      </c>
      <c r="H48" s="160">
        <f>$C$35*$C$43*0.00272/$C$44*(24*'Расчет после реализации'!J146)</f>
        <v>363.73912424527089</v>
      </c>
      <c r="I48" s="160">
        <f>$C$35*$C$43*0.00272/$C$44*(24*'Расчет после реализации'!K146)</f>
        <v>121.24637474842363</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363.73912424527089</v>
      </c>
      <c r="O48" s="160">
        <f>$C$35*$C$43*0.00272/$C$44*(24*'Расчет после реализации'!Q146)</f>
        <v>363.73912424527089</v>
      </c>
      <c r="P48" s="160">
        <f>$C$35*$C$43*0.00272/$C$44*(24*'Расчет после реализации'!R146)</f>
        <v>375.86376172011325</v>
      </c>
      <c r="Q48" s="99"/>
    </row>
    <row r="49" spans="1:17" x14ac:dyDescent="0.25">
      <c r="A49" s="158" t="s">
        <v>1388</v>
      </c>
      <c r="B49" s="134" t="s">
        <v>842</v>
      </c>
      <c r="C49" s="160">
        <f>C35*6*0.00272/$C$44*(24*'Ввод исходных данных'!D246)</f>
        <v>2679.5448819401622</v>
      </c>
      <c r="D49" s="161"/>
      <c r="E49" s="160">
        <f>$C$35*$C$43*0.00272/$C$44*(24*'Расчет после реализации'!G146)</f>
        <v>375.86376172011325</v>
      </c>
      <c r="F49" s="160">
        <f>$C$35*$C$43*0.00272/$C$44*(24*'Расчет после реализации'!H146)</f>
        <v>339.48984929558617</v>
      </c>
      <c r="G49" s="162">
        <f>$D$35*$C$43*0.00272/$C$44*(24*'Расчет после реализации'!I146)</f>
        <v>578.38854063514782</v>
      </c>
      <c r="H49" s="162">
        <f>$D$35*$C$43*0.00272/$C$44*(24*'Расчет после реализации'!J146)</f>
        <v>559.73084577594955</v>
      </c>
      <c r="I49" s="162">
        <f>$D$35*$C$43*0.00272/$C$44*(24*'Расчет после реализации'!K146)</f>
        <v>186.57694859198318</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559.73084577594955</v>
      </c>
      <c r="O49" s="162">
        <f>$D$35*$C$43*0.00272/$C$44*(24*'Расчет после реализации'!Q146)</f>
        <v>559.73084577594955</v>
      </c>
      <c r="P49" s="162">
        <f>$D$35*$C$43*0.00272/$C$44*(24*'Расчет после реализации'!R146)</f>
        <v>578.38854063514782</v>
      </c>
      <c r="Q49" s="99"/>
    </row>
    <row r="50" spans="1:17" x14ac:dyDescent="0.25">
      <c r="A50" s="158" t="s">
        <v>1609</v>
      </c>
      <c r="B50" s="163"/>
      <c r="C50" s="164">
        <f>D35*$C$43*0.00272/$C$44*(24*'Ввод исходных данных'!D246)</f>
        <v>4123.3505638828283</v>
      </c>
      <c r="D50" s="165"/>
      <c r="E50" s="162">
        <f>$D$35*$C$43*0.00272/$C$44*(24*'Расчет после реализации'!G146)</f>
        <v>578.38854063514782</v>
      </c>
      <c r="F50" s="162">
        <f>$D$35*$C$43*0.00272/$C$44*(24*'Расчет после реализации'!H146)</f>
        <v>522.41545605755289</v>
      </c>
      <c r="G50" s="166">
        <f>IF('Список мероприятий'!$D$33=списки!$N$46,'Система электроснабжения'!G49,'Система электроснабжения'!G47)*IF('Список мероприятий'!AF44=1,0.9,1)*IF('Список мероприятий'!$AB$52=1,0.9572,1)</f>
        <v>386.97157947047015</v>
      </c>
      <c r="H50" s="166">
        <f>IF('Список мероприятий'!$D$33=списки!$N$46,'Система электроснабжения'!H49,'Система электроснабжения'!H47)*IF('Список мероприятий'!AG44=1,0.9,1)*IF('Список мероприятий'!$AB$52=1,0.9572,1)</f>
        <v>179.14490987609747</v>
      </c>
      <c r="I50" s="166">
        <f>IF('Список мероприятий'!$D$33=списки!$N$46,'Система электроснабжения'!I49,'Система электроснабжения'!I47)*IF('Список мероприятий'!AH44=1,0.9,1)*IF('Список мероприятий'!$AB$52=1,0.9572,1)</f>
        <v>38.234933484162973</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276.43772727734466</v>
      </c>
      <c r="O50" s="166">
        <f>IF('Список мероприятий'!$D$33=списки!$N$46,'Система электроснабжения'!O49,'Система электроснабжения'!O47)*IF('Список мероприятий'!AN44=1,0.9,1)*IF('Список мероприятий'!$AB$52=1,0.9572,1)</f>
        <v>458.75458028568391</v>
      </c>
      <c r="P50" s="166">
        <f>IF('Список мероприятий'!$D$33=списки!$N$46,'Система электроснабжения'!P49,'Система электроснабжения'!P47)*IF('Список мероприятий'!AO44=1,0.9,1)*IF('Список мероприятий'!$AB$52=1,0.9572,1)</f>
        <v>464.30946952792101</v>
      </c>
      <c r="Q50" s="99"/>
    </row>
    <row r="51" spans="1:17" ht="15" customHeight="1" x14ac:dyDescent="0.25">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2767.0912355887995</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498.61693016724615</v>
      </c>
      <c r="F51" s="166">
        <f>IF('Список мероприятий'!$D$33=списки!$N$46,'Система электроснабжения'!F50,'Система электроснабжения'!F48)*IF('Список мероприятий'!AE44=1,0.9,1)*IF('Список мероприятий'!$AB$52=1,0.9572,1)</f>
        <v>456.82405824792312</v>
      </c>
      <c r="K51" s="94"/>
    </row>
    <row r="52" spans="1:17" ht="34.5" customHeight="1" x14ac:dyDescent="0.25">
      <c r="A52" s="152" t="s">
        <v>1450</v>
      </c>
      <c r="B52" s="131"/>
      <c r="C52" s="131"/>
      <c r="D52" s="132"/>
      <c r="G52" s="167">
        <f>G55*'Система электроснабжения'!$C$55</f>
        <v>5.7886857811106394</v>
      </c>
      <c r="H52" s="167">
        <f>H55*'Система электроснабжения'!$C$55</f>
        <v>5.7886857811106394</v>
      </c>
      <c r="I52" s="167">
        <f>I55*'Система электроснабжения'!$C$55</f>
        <v>5.2098172029995755</v>
      </c>
      <c r="J52" s="167">
        <f>J55*'Система электроснабжения'!$C$55</f>
        <v>5.2098172029995755</v>
      </c>
      <c r="K52" s="167">
        <f>K55*'Система электроснабжения'!$C$55</f>
        <v>5.2098172029995755</v>
      </c>
      <c r="L52" s="167">
        <f>L55*'Система электроснабжения'!$C$55</f>
        <v>5.2098172029995755</v>
      </c>
      <c r="M52" s="167">
        <f>M55*'Система электроснабжения'!$C$55</f>
        <v>5.2098172029995755</v>
      </c>
      <c r="N52" s="167">
        <f>N55*'Система электроснабжения'!$C$55</f>
        <v>5.7886857811106394</v>
      </c>
      <c r="O52" s="167">
        <f>O55*'Система электроснабжения'!$C$55</f>
        <v>5.7886857811106394</v>
      </c>
      <c r="P52" s="167">
        <f>P55*'Система электроснабжения'!$C$55</f>
        <v>5.7886857811106394</v>
      </c>
    </row>
    <row r="53" spans="1:17" s="171" customFormat="1" ht="19.5" customHeight="1" x14ac:dyDescent="0.25">
      <c r="A53" s="168" t="s">
        <v>1348</v>
      </c>
      <c r="B53" s="169" t="s">
        <v>885</v>
      </c>
      <c r="C53" s="167">
        <f>'Расчет базового уровня'!D171*'Система электроснабжения'!$C$55</f>
        <v>5.7886857811106394</v>
      </c>
      <c r="D53" s="95"/>
      <c r="E53" s="167">
        <f>E56*'Система электроснабжения'!$C$55</f>
        <v>5.7886857811106394</v>
      </c>
      <c r="F53" s="167">
        <f>F56*'Система электроснабжения'!$C$55</f>
        <v>5.7886857811106394</v>
      </c>
      <c r="G53" s="170">
        <f>G56*'Система электроснабжения'!$C$55</f>
        <v>5.7886857811106394</v>
      </c>
      <c r="H53" s="170">
        <f>H56*'Система электроснабжения'!$C$55</f>
        <v>5.7886857811106394</v>
      </c>
      <c r="I53" s="170">
        <f>I56*'Система электроснабжения'!$C$55</f>
        <v>5.2098172029995755</v>
      </c>
      <c r="J53" s="170">
        <f>J56*'Система электроснабжения'!$C$55</f>
        <v>5.2098172029995755</v>
      </c>
      <c r="K53" s="170">
        <f>K56*'Система электроснабжения'!$C$55</f>
        <v>5.2098172029995755</v>
      </c>
      <c r="L53" s="170">
        <f>L56*'Система электроснабжения'!$C$55</f>
        <v>5.2098172029995755</v>
      </c>
      <c r="M53" s="170">
        <f>M56*'Система электроснабжения'!$C$55</f>
        <v>5.2098172029995755</v>
      </c>
      <c r="N53" s="170">
        <f>N56*'Система электроснабжения'!$C$55</f>
        <v>5.7886857811106394</v>
      </c>
      <c r="O53" s="170">
        <f>O56*'Система электроснабжения'!$C$55</f>
        <v>5.7886857811106394</v>
      </c>
      <c r="P53" s="170">
        <f>P56*'Система электроснабжения'!$C$55</f>
        <v>5.7886857811106394</v>
      </c>
    </row>
    <row r="54" spans="1:17" ht="30.75" customHeight="1" x14ac:dyDescent="0.25">
      <c r="A54" s="172" t="s">
        <v>893</v>
      </c>
      <c r="B54" s="173"/>
      <c r="C54" s="174">
        <f>C57*'Система электроснабжения'!C55</f>
        <v>5.7886857811106394</v>
      </c>
      <c r="D54" s="175"/>
      <c r="E54" s="170">
        <f>E57*'Система электроснабжения'!$C$55</f>
        <v>5.7886857811106394</v>
      </c>
      <c r="F54" s="170">
        <f>F57*'Система электроснабжения'!$C$55</f>
        <v>5.7886857811106394</v>
      </c>
      <c r="K54" s="176"/>
      <c r="L54" s="177"/>
      <c r="M54" s="177"/>
      <c r="N54" s="177"/>
      <c r="O54" s="177"/>
      <c r="P54" s="177"/>
    </row>
    <row r="55" spans="1:17" ht="30.75" customHeight="1" x14ac:dyDescent="0.25">
      <c r="A55" s="172"/>
      <c r="B55" s="169"/>
      <c r="C55" s="178">
        <f>11.96*('Ввод исходных данных'!$D$22^(-0.181))</f>
        <v>4.1554121142941405</v>
      </c>
      <c r="D55" s="95"/>
      <c r="E55" s="177"/>
      <c r="F55" s="177"/>
      <c r="G55" s="179">
        <f>'Расчет базового уровня'!I171</f>
        <v>1.3930473372781065</v>
      </c>
      <c r="H55" s="179">
        <f>'Расчет базового уровня'!J171</f>
        <v>1.3930473372781065</v>
      </c>
      <c r="I55" s="179">
        <f>'Расчет базового уровня'!K171</f>
        <v>1.2537426035502959</v>
      </c>
      <c r="J55" s="179">
        <f>'Расчет базового уровня'!L171</f>
        <v>1.2537426035502959</v>
      </c>
      <c r="K55" s="179">
        <f>'Расчет базового уровня'!M171</f>
        <v>1.2537426035502959</v>
      </c>
      <c r="L55" s="179">
        <f>'Расчет базового уровня'!N171</f>
        <v>1.2537426035502959</v>
      </c>
      <c r="M55" s="179">
        <f>'Расчет базового уровня'!O171</f>
        <v>1.2537426035502959</v>
      </c>
      <c r="N55" s="179">
        <f>'Расчет базового уровня'!P171</f>
        <v>1.3930473372781065</v>
      </c>
      <c r="O55" s="179">
        <f>'Расчет базового уровня'!Q171</f>
        <v>1.3930473372781065</v>
      </c>
      <c r="P55" s="179">
        <f>'Расчет базового уровня'!R171</f>
        <v>1.3930473372781065</v>
      </c>
    </row>
    <row r="56" spans="1:17" s="171" customFormat="1" ht="16.5" customHeight="1" x14ac:dyDescent="0.25">
      <c r="A56" s="180" t="s">
        <v>1451</v>
      </c>
      <c r="B56" s="169"/>
      <c r="C56" s="178"/>
      <c r="D56" s="95"/>
      <c r="E56" s="179">
        <f>'Расчет базового уровня'!G171</f>
        <v>1.3930473372781065</v>
      </c>
      <c r="F56" s="179">
        <f>'Расчет базового уровня'!H171</f>
        <v>1.3930473372781065</v>
      </c>
      <c r="G56" s="181">
        <f>'Расчет после реализации'!I169</f>
        <v>1.3930473372781065</v>
      </c>
      <c r="H56" s="181">
        <f>'Расчет после реализации'!J169</f>
        <v>1.3930473372781065</v>
      </c>
      <c r="I56" s="181">
        <f>'Расчет после реализации'!K169</f>
        <v>1.2537426035502959</v>
      </c>
      <c r="J56" s="181">
        <f>'Расчет после реализации'!L169</f>
        <v>1.2537426035502959</v>
      </c>
      <c r="K56" s="181">
        <f>'Расчет после реализации'!M169</f>
        <v>1.2537426035502959</v>
      </c>
      <c r="L56" s="181">
        <f>'Расчет после реализации'!N169</f>
        <v>1.2537426035502959</v>
      </c>
      <c r="M56" s="181">
        <f>'Расчет после реализации'!O169</f>
        <v>1.2537426035502959</v>
      </c>
      <c r="N56" s="181">
        <f>'Расчет после реализации'!P169</f>
        <v>1.3930473372781065</v>
      </c>
      <c r="O56" s="181">
        <f>'Расчет после реализации'!Q169</f>
        <v>1.3930473372781065</v>
      </c>
      <c r="P56" s="181">
        <f>'Расчет после реализации'!R169</f>
        <v>1.3930473372781065</v>
      </c>
    </row>
    <row r="57" spans="1:17" ht="24" customHeight="1" x14ac:dyDescent="0.25">
      <c r="A57" s="148" t="s">
        <v>886</v>
      </c>
      <c r="B57" s="173"/>
      <c r="C57" s="182">
        <f>'Расчет после реализации'!D169</f>
        <v>1.3930473372781065</v>
      </c>
      <c r="D57" s="175"/>
      <c r="E57" s="181">
        <f>'Расчет после реализации'!G169</f>
        <v>1.3930473372781065</v>
      </c>
      <c r="F57" s="181">
        <f>'Расчет после реализации'!H169</f>
        <v>1.3930473372781065</v>
      </c>
    </row>
    <row r="58" spans="1:17" ht="36" x14ac:dyDescent="0.25">
      <c r="A58" s="172" t="s">
        <v>888</v>
      </c>
      <c r="B58" s="110"/>
      <c r="C58" s="183">
        <v>0.1</v>
      </c>
      <c r="D58" s="184" t="s">
        <v>887</v>
      </c>
      <c r="G58" s="143">
        <f t="shared" ref="G58:P58" si="2">G52*(1+$C$58)</f>
        <v>6.3675543592217041</v>
      </c>
      <c r="H58" s="143">
        <f t="shared" si="2"/>
        <v>6.3675543592217041</v>
      </c>
      <c r="I58" s="143">
        <f t="shared" si="2"/>
        <v>5.7307989232995338</v>
      </c>
      <c r="J58" s="143">
        <f t="shared" si="2"/>
        <v>5.7307989232995338</v>
      </c>
      <c r="K58" s="143">
        <f t="shared" si="2"/>
        <v>5.7307989232995338</v>
      </c>
      <c r="L58" s="143">
        <f t="shared" si="2"/>
        <v>5.7307989232995338</v>
      </c>
      <c r="M58" s="143">
        <f t="shared" si="2"/>
        <v>5.7307989232995338</v>
      </c>
      <c r="N58" s="143">
        <f t="shared" si="2"/>
        <v>6.3675543592217041</v>
      </c>
      <c r="O58" s="143">
        <f t="shared" si="2"/>
        <v>6.3675543592217041</v>
      </c>
      <c r="P58" s="143">
        <f t="shared" si="2"/>
        <v>6.3675543592217041</v>
      </c>
    </row>
    <row r="59" spans="1:17" s="171" customFormat="1" x14ac:dyDescent="0.25">
      <c r="A59" s="168" t="s">
        <v>1348</v>
      </c>
      <c r="B59" s="169" t="s">
        <v>885</v>
      </c>
      <c r="C59" s="143">
        <f>C53*(1+C$58)</f>
        <v>6.3675543592217041</v>
      </c>
      <c r="D59" s="95"/>
      <c r="E59" s="143">
        <f>E53*(1+$C$58)</f>
        <v>6.3675543592217041</v>
      </c>
      <c r="F59" s="143">
        <f>F53*(1+$C$58)</f>
        <v>6.3675543592217041</v>
      </c>
      <c r="G59" s="144">
        <f t="shared" ref="G59:P59" si="3">G53*(1+$C$58)</f>
        <v>6.3675543592217041</v>
      </c>
      <c r="H59" s="144">
        <f t="shared" si="3"/>
        <v>6.3675543592217041</v>
      </c>
      <c r="I59" s="144">
        <f t="shared" si="3"/>
        <v>5.7307989232995338</v>
      </c>
      <c r="J59" s="144">
        <f t="shared" si="3"/>
        <v>5.7307989232995338</v>
      </c>
      <c r="K59" s="144">
        <f t="shared" si="3"/>
        <v>5.7307989232995338</v>
      </c>
      <c r="L59" s="144">
        <f t="shared" si="3"/>
        <v>5.7307989232995338</v>
      </c>
      <c r="M59" s="144">
        <f t="shared" si="3"/>
        <v>5.7307989232995338</v>
      </c>
      <c r="N59" s="144">
        <f t="shared" si="3"/>
        <v>6.3675543592217041</v>
      </c>
      <c r="O59" s="144">
        <f t="shared" si="3"/>
        <v>6.3675543592217041</v>
      </c>
      <c r="P59" s="144">
        <f t="shared" si="3"/>
        <v>6.3675543592217041</v>
      </c>
    </row>
    <row r="60" spans="1:17" x14ac:dyDescent="0.25">
      <c r="A60" s="145" t="s">
        <v>878</v>
      </c>
      <c r="B60" s="173"/>
      <c r="C60" s="144">
        <f>C54*(1+C$58)</f>
        <v>6.3675543592217041</v>
      </c>
      <c r="D60" s="175"/>
      <c r="E60" s="144">
        <f>E54*(1+$C$58)</f>
        <v>6.3675543592217041</v>
      </c>
      <c r="F60" s="144">
        <f>F54*(1+$C$58)</f>
        <v>6.3675543592217041</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f>0.00272*G58*$C$61*G61/($C$63*$C$64)</f>
        <v>184.084177223854</v>
      </c>
      <c r="H64" s="185">
        <f>0.00272*H58*$C$61*H61/($C$63*$C$64)</f>
        <v>178.14597795856841</v>
      </c>
      <c r="I64" s="185">
        <f>0.00272*I58*$C$61*I61/($C$63*$C$64)</f>
        <v>165.6757595014686</v>
      </c>
      <c r="J64" s="185">
        <f>0.00272*J58*$C$61*J61/($C$63*$C$64)</f>
        <v>160.33138016271155</v>
      </c>
      <c r="K64" s="185">
        <f>0.00272*K58*$C$61*K61/($C$63*$C$64)</f>
        <v>90.854448758869879</v>
      </c>
      <c r="L64" s="185">
        <f t="shared" ref="L64:P64" si="4">0.00272*L58*$C$61*L61/($C$63*$C$64)</f>
        <v>165.6757595014686</v>
      </c>
      <c r="M64" s="185">
        <f t="shared" si="4"/>
        <v>160.33138016271155</v>
      </c>
      <c r="N64" s="185">
        <f t="shared" si="4"/>
        <v>184.084177223854</v>
      </c>
      <c r="O64" s="185">
        <f t="shared" si="4"/>
        <v>178.14597795856841</v>
      </c>
      <c r="P64" s="185">
        <f t="shared" si="4"/>
        <v>184.084177223854</v>
      </c>
    </row>
    <row r="65" spans="1:16" s="171" customFormat="1" ht="27.95" customHeight="1" x14ac:dyDescent="0.25">
      <c r="A65" s="186" t="s">
        <v>1349</v>
      </c>
      <c r="B65" s="134" t="s">
        <v>842</v>
      </c>
      <c r="C65" s="185">
        <f>0.00272*C59*C61*C62/(C63*C64)</f>
        <v>2084.3079421152502</v>
      </c>
      <c r="D65" s="95"/>
      <c r="E65" s="185">
        <f>0.00272*E59*$C$61*E62/($C$63*$C$64)</f>
        <v>184.084177223854</v>
      </c>
      <c r="F65" s="185">
        <f>0.00272*F59*$C$61*F62/($C$63*$C$64)</f>
        <v>166.26957942799717</v>
      </c>
      <c r="G65" s="187">
        <f>0.00272*G59*$C$61*G61/(C63*C64)*IF('Список мероприятий'!AB44=1,0.9,1)*IF('Список мероприятий'!AB52=1,0.9572,1)</f>
        <v>184.084177223854</v>
      </c>
      <c r="H65" s="187">
        <f>0.00272*H59*$C$61*H61/(C63*C64)*IF('Список мероприятий'!AB44=1,0.9,1)*IF('Список мероприятий'!AB52=1,0.9572,1)</f>
        <v>178.14597795856841</v>
      </c>
      <c r="I65" s="187">
        <f>0.00272*I59*$C$61*I61/(C63*C64)*IF('Список мероприятий'!AB44=1,0.9,1)*IF('Список мероприятий'!AB52=1,0.9572,1)</f>
        <v>165.6757595014686</v>
      </c>
      <c r="J65" s="187">
        <f>0.00272*J59*$C$61*J61/(C63*C64)*IF('Список мероприятий'!AB44=1,0.9,1)*IF('Список мероприятий'!AB52=1,0.9572,1)</f>
        <v>160.33138016271155</v>
      </c>
      <c r="K65" s="187">
        <f>0.00272*K59*$C$61*K61/(C63*C64)*IF('Список мероприятий'!AB44=1,0.9,1)*IF('Список мероприятий'!AB52=1,0.9572,1)</f>
        <v>90.854448758869879</v>
      </c>
      <c r="L65" s="187">
        <f>0.00272*L59*$C$61*L61/(C63*C64)*IF('Список мероприятий'!AB44=1,0.9,1)*IF('Список мероприятий'!AB52=1,0.9572,1)</f>
        <v>165.6757595014686</v>
      </c>
      <c r="M65" s="187">
        <f>0.00272*M59*$C$61*M61/(C63*C64)*IF('Список мероприятий'!AB44=1,0.9,1)*IF('Список мероприятий'!AB52=1,0.9572,1)</f>
        <v>160.33138016271155</v>
      </c>
      <c r="N65" s="187">
        <f>0.00272*N59*$C$61*N61/(C63*C64)*IF('Список мероприятий'!AB44=1,0.9,1)*IF('Список мероприятий'!AB52=1,0.9572,1)</f>
        <v>184.084177223854</v>
      </c>
      <c r="O65" s="187">
        <f>0.00272*O59*$C$61*O61/(C63*C64)*IF('Список мероприятий'!AB44=1,0.9,1)*IF('Список мероприятий'!AB52=1,0.9572,1)</f>
        <v>178.14597795856841</v>
      </c>
      <c r="P65" s="187">
        <f>0.00272*P59*$C$61*P61/(C63*C64)*IF('Список мероприятий'!AB44=1,0.9,1)*IF('Список мероприятий'!AB52=1,0.9572,1)</f>
        <v>184.084177223854</v>
      </c>
    </row>
    <row r="66" spans="1:16" ht="27.95" customHeight="1" x14ac:dyDescent="0.25">
      <c r="A66" s="100" t="s">
        <v>974</v>
      </c>
      <c r="B66" s="188"/>
      <c r="C66" s="189">
        <f>0.00272*C60*C61*C62/(C63*C64)*IF('Список мероприятий'!AB44=1,0.9,1)*IF('Список мероприятий'!AB52=1,0.9572,1)</f>
        <v>2084.3079421152502</v>
      </c>
      <c r="D66" s="190"/>
      <c r="E66" s="187">
        <f>0.00272*E60*$C$61*E62/(C63*C64)*IF('Список мероприятий'!AB44=1,0.9,1)*IF('Список мероприятий'!AB52=1,0.9572,1)</f>
        <v>184.084177223854</v>
      </c>
      <c r="F66" s="187">
        <f>0.00272*F60*$C$61*F62/(C63*C64)*IF('Список мероприятий'!AB44=1,0.9,1)*IF('Список мероприятий'!AB52=1,0.9572,1)</f>
        <v>166.26957942799717</v>
      </c>
      <c r="G66" s="100"/>
    </row>
    <row r="67" spans="1:16" x14ac:dyDescent="0.25">
      <c r="A67" s="90" t="s">
        <v>892</v>
      </c>
      <c r="B67" s="100"/>
      <c r="C67" s="100"/>
      <c r="D67" s="100"/>
      <c r="E67" s="100"/>
      <c r="F67" s="100"/>
    </row>
    <row r="68" spans="1:16" x14ac:dyDescent="0.25">
      <c r="A68" s="1879" t="s">
        <v>834</v>
      </c>
      <c r="B68" s="91"/>
      <c r="C68" s="92"/>
      <c r="D68" s="93"/>
      <c r="E68" s="94"/>
      <c r="G68" s="129"/>
    </row>
    <row r="69" spans="1:16" x14ac:dyDescent="0.25">
      <c r="A69" s="1879"/>
      <c r="B69" s="1879" t="s">
        <v>835</v>
      </c>
      <c r="C69" s="129" t="s">
        <v>754</v>
      </c>
      <c r="D69" s="129"/>
      <c r="E69" s="129"/>
      <c r="F69" s="129"/>
      <c r="G69" s="191" t="s">
        <v>840</v>
      </c>
    </row>
    <row r="70" spans="1:16" ht="51" x14ac:dyDescent="0.25">
      <c r="A70" s="192" t="s">
        <v>841</v>
      </c>
      <c r="B70" s="1879"/>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3" t="s">
        <v>580</v>
      </c>
      <c r="B87" s="205"/>
      <c r="C87" s="203" t="s">
        <v>579</v>
      </c>
      <c r="D87" s="75">
        <v>2920</v>
      </c>
      <c r="E87" s="75">
        <v>120</v>
      </c>
    </row>
    <row r="88" spans="1:5" ht="47.25" x14ac:dyDescent="0.25">
      <c r="A88" s="1874"/>
      <c r="B88" s="204" t="s">
        <v>581</v>
      </c>
      <c r="C88" s="203" t="s">
        <v>579</v>
      </c>
      <c r="D88" s="75">
        <v>8760</v>
      </c>
      <c r="E88" s="75">
        <v>240</v>
      </c>
    </row>
    <row r="89" spans="1:5" ht="15.75" x14ac:dyDescent="0.25">
      <c r="A89" s="1874"/>
      <c r="B89" s="204" t="s">
        <v>582</v>
      </c>
      <c r="C89" s="203"/>
    </row>
    <row r="90" spans="1:5" ht="31.5" x14ac:dyDescent="0.25">
      <c r="A90" s="1874"/>
      <c r="B90" s="204" t="s">
        <v>583</v>
      </c>
      <c r="C90" s="203" t="s">
        <v>579</v>
      </c>
      <c r="D90" s="75">
        <v>300</v>
      </c>
    </row>
    <row r="91" spans="1:5" ht="47.25" x14ac:dyDescent="0.25">
      <c r="A91" s="1875"/>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5" t="s">
        <v>1463</v>
      </c>
      <c r="B3" s="1886" t="s">
        <v>919</v>
      </c>
      <c r="C3" s="1887" t="s">
        <v>1004</v>
      </c>
      <c r="D3" s="1887" t="s">
        <v>790</v>
      </c>
      <c r="F3" s="211">
        <v>1</v>
      </c>
      <c r="H3" s="84"/>
      <c r="I3" s="84"/>
      <c r="J3" s="84"/>
      <c r="K3" s="84"/>
      <c r="L3" s="84"/>
      <c r="M3" s="84"/>
      <c r="N3" s="84"/>
      <c r="O3" s="84"/>
      <c r="P3" s="84"/>
      <c r="Q3" s="84"/>
    </row>
    <row r="4" spans="1:59" x14ac:dyDescent="0.25">
      <c r="A4" s="1885"/>
      <c r="B4" s="1886"/>
      <c r="C4" s="1887"/>
      <c r="D4" s="1887"/>
      <c r="E4" s="212">
        <v>2</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0</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1</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0</v>
      </c>
      <c r="C11" s="221">
        <f>IF(F14=0,1,0)</f>
        <v>1</v>
      </c>
      <c r="H11" s="84"/>
      <c r="I11" s="84"/>
      <c r="J11" s="84"/>
      <c r="K11" s="84"/>
      <c r="L11" s="84"/>
      <c r="M11" s="84"/>
      <c r="N11" s="84"/>
      <c r="O11" s="84"/>
      <c r="P11" s="84"/>
      <c r="Q11" s="84"/>
    </row>
    <row r="12" spans="1:59" ht="18" x14ac:dyDescent="0.35">
      <c r="A12" s="1887" t="s">
        <v>791</v>
      </c>
      <c r="B12" s="1888" t="s">
        <v>797</v>
      </c>
      <c r="C12" s="1888"/>
      <c r="E12" s="75">
        <f>SUMPRODUCT(D14:D17,B14:B17)*B11+SUMPRODUCT(D14:D17,C14:C17)*C11</f>
        <v>0.3</v>
      </c>
      <c r="H12" s="84"/>
      <c r="I12" s="84"/>
      <c r="J12" s="84"/>
      <c r="K12" s="84"/>
      <c r="L12" s="84"/>
      <c r="M12" s="84"/>
      <c r="N12" s="84"/>
      <c r="O12" s="84"/>
      <c r="P12" s="84"/>
      <c r="Q12" s="84"/>
    </row>
    <row r="13" spans="1:59" ht="87.6" customHeight="1" x14ac:dyDescent="0.25">
      <c r="A13" s="1887"/>
      <c r="B13" s="222" t="s">
        <v>796</v>
      </c>
      <c r="C13" s="222" t="s">
        <v>1464</v>
      </c>
      <c r="F13" s="211"/>
      <c r="G13" s="211">
        <f>IF(F20=1,1,IF(F21=1,2,0))</f>
        <v>2</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0</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1</v>
      </c>
      <c r="E16" s="75" t="s">
        <v>730</v>
      </c>
      <c r="F16" s="211">
        <f t="shared" si="0"/>
        <v>1</v>
      </c>
      <c r="G16" s="211" t="b">
        <v>1</v>
      </c>
    </row>
    <row r="17" spans="1:11" ht="25.5" x14ac:dyDescent="0.25">
      <c r="A17" s="223" t="s">
        <v>795</v>
      </c>
      <c r="B17" s="224">
        <f>0.25</f>
        <v>0.25</v>
      </c>
      <c r="C17" s="224">
        <f>0.2</f>
        <v>0.2</v>
      </c>
      <c r="D17" s="75">
        <f>IF(AND($F$15=0,$F$16=0),1,0)</f>
        <v>0</v>
      </c>
      <c r="E17" s="75" t="s">
        <v>1381</v>
      </c>
      <c r="F17" s="211">
        <f t="shared" si="0"/>
        <v>1</v>
      </c>
      <c r="G17" s="211" t="b">
        <v>1</v>
      </c>
    </row>
    <row r="18" spans="1:11" x14ac:dyDescent="0.25">
      <c r="F18" s="211"/>
      <c r="G18" s="211">
        <v>3</v>
      </c>
    </row>
    <row r="19" spans="1:11" x14ac:dyDescent="0.25">
      <c r="E19" s="75" t="s">
        <v>1382</v>
      </c>
      <c r="F19" s="211">
        <f>IF($G$18=1,1,0)</f>
        <v>0</v>
      </c>
      <c r="G19" s="211"/>
    </row>
    <row r="20" spans="1:11" x14ac:dyDescent="0.25">
      <c r="E20" s="75" t="s">
        <v>1555</v>
      </c>
      <c r="F20" s="211">
        <f>IF($G$18=2,1,0)</f>
        <v>0</v>
      </c>
      <c r="G20" s="211"/>
    </row>
    <row r="21" spans="1:11" x14ac:dyDescent="0.25">
      <c r="E21" s="75" t="s">
        <v>1556</v>
      </c>
      <c r="F21" s="211">
        <f>IF($G$18=3,1,0)</f>
        <v>1</v>
      </c>
      <c r="G21" s="211"/>
    </row>
    <row r="30" spans="1:11" ht="15.75" thickBot="1" x14ac:dyDescent="0.3"/>
    <row r="31" spans="1:11" ht="16.5" thickBot="1" x14ac:dyDescent="0.3">
      <c r="A31" s="226" t="s">
        <v>728</v>
      </c>
      <c r="B31" s="1883" t="s">
        <v>554</v>
      </c>
      <c r="C31" s="1884"/>
      <c r="I31" s="227" t="s">
        <v>920</v>
      </c>
    </row>
    <row r="32" spans="1:11" ht="63.75" thickBot="1" x14ac:dyDescent="0.3">
      <c r="A32" s="228"/>
      <c r="B32" s="229" t="s">
        <v>555</v>
      </c>
      <c r="C32" s="230" t="s">
        <v>556</v>
      </c>
      <c r="I32" s="1880" t="s">
        <v>1465</v>
      </c>
      <c r="J32" s="1880"/>
      <c r="K32" s="1880"/>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1466</v>
      </c>
      <c r="J34" s="1881"/>
      <c r="K34" s="1882"/>
    </row>
    <row r="35" spans="1:15" ht="32.25" thickBot="1" x14ac:dyDescent="0.3">
      <c r="A35" s="231" t="s">
        <v>558</v>
      </c>
      <c r="B35" s="229">
        <v>0.35</v>
      </c>
      <c r="C35" s="229">
        <v>0.3</v>
      </c>
      <c r="D35" s="229">
        <f>IF((G15=FALSE)*AND(G16=TRUE)*AND(G14=TRUE),1,0)</f>
        <v>1</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28515625" defaultRowHeight="15" x14ac:dyDescent="0.25"/>
  <cols>
    <col min="1" max="1" width="3.28515625" style="75" hidden="1" customWidth="1"/>
    <col min="2" max="3" width="15" style="75" hidden="1" customWidth="1"/>
    <col min="4" max="4" width="23.85546875" style="75" hidden="1" customWidth="1"/>
    <col min="5" max="14" width="3.28515625" style="75" hidden="1" customWidth="1"/>
    <col min="15"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x14ac:dyDescent="0.2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1490</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1433</v>
      </c>
      <c r="D10" s="75" t="s">
        <v>455</v>
      </c>
      <c r="F10" s="255" t="s">
        <v>293</v>
      </c>
      <c r="G10" s="256">
        <v>10</v>
      </c>
      <c r="J10" s="257" t="s">
        <v>0</v>
      </c>
      <c r="K10" s="258" t="s">
        <v>6</v>
      </c>
      <c r="AI10" s="249" t="s">
        <v>1866</v>
      </c>
      <c r="AK10" s="249" t="s">
        <v>804</v>
      </c>
      <c r="AN10" s="75" t="s">
        <v>1301</v>
      </c>
    </row>
    <row r="11" spans="2:44" ht="15.75" x14ac:dyDescent="0.2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266" t="s">
        <v>1435</v>
      </c>
      <c r="F12" s="255" t="s">
        <v>422</v>
      </c>
      <c r="G12" s="256">
        <v>12</v>
      </c>
      <c r="J12" s="257" t="s">
        <v>13</v>
      </c>
      <c r="K12" s="258" t="s">
        <v>633</v>
      </c>
      <c r="R12" s="253"/>
      <c r="AI12" s="99">
        <f ca="1">YEAR(TODAY())</f>
        <v>2017</v>
      </c>
      <c r="AK12" s="75" t="s">
        <v>536</v>
      </c>
      <c r="AL12" s="75">
        <v>2</v>
      </c>
      <c r="AM12" s="75">
        <v>28</v>
      </c>
      <c r="AN12" s="262" t="s">
        <v>1318</v>
      </c>
    </row>
    <row r="13" spans="2:44" ht="15.75" x14ac:dyDescent="0.25">
      <c r="B13" s="95" t="s">
        <v>1436</v>
      </c>
      <c r="F13" s="250" t="s">
        <v>95</v>
      </c>
      <c r="G13" s="251">
        <v>13</v>
      </c>
      <c r="J13" s="257" t="s">
        <v>13</v>
      </c>
      <c r="K13" s="258" t="s">
        <v>14</v>
      </c>
      <c r="R13" s="260"/>
      <c r="AK13" s="75" t="s">
        <v>537</v>
      </c>
      <c r="AL13" s="75">
        <v>3</v>
      </c>
      <c r="AM13" s="75">
        <v>31</v>
      </c>
      <c r="AN13" s="262" t="s">
        <v>978</v>
      </c>
    </row>
    <row r="14" spans="2:44" ht="15.75" x14ac:dyDescent="0.25">
      <c r="B14" s="95" t="s">
        <v>445</v>
      </c>
      <c r="F14" s="255" t="s">
        <v>255</v>
      </c>
      <c r="G14" s="256">
        <v>14</v>
      </c>
      <c r="J14" s="257" t="s">
        <v>13</v>
      </c>
      <c r="K14" s="258" t="s">
        <v>15</v>
      </c>
      <c r="R14" s="260"/>
      <c r="AK14" s="75" t="s">
        <v>538</v>
      </c>
      <c r="AL14" s="75">
        <v>4</v>
      </c>
      <c r="AM14" s="75">
        <v>30</v>
      </c>
      <c r="AN14" s="262" t="s">
        <v>979</v>
      </c>
    </row>
    <row r="15" spans="2:44" ht="15.75" x14ac:dyDescent="0.2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75" t="s">
        <v>1630</v>
      </c>
      <c r="F16" s="255" t="s">
        <v>71</v>
      </c>
      <c r="G16" s="256">
        <v>16</v>
      </c>
      <c r="J16" s="257" t="s">
        <v>13</v>
      </c>
      <c r="K16" s="258" t="s">
        <v>17</v>
      </c>
      <c r="M16" s="254" t="s">
        <v>1269</v>
      </c>
      <c r="O16" s="254" t="s">
        <v>1268</v>
      </c>
      <c r="R16" s="260"/>
      <c r="AK16" s="75" t="s">
        <v>725</v>
      </c>
      <c r="AL16" s="75">
        <v>6</v>
      </c>
      <c r="AM16" s="75">
        <v>30</v>
      </c>
    </row>
    <row r="17" spans="2:40" ht="15.75" x14ac:dyDescent="0.25">
      <c r="B17" s="95" t="s">
        <v>1437</v>
      </c>
      <c r="F17" s="250" t="s">
        <v>614</v>
      </c>
      <c r="G17" s="251">
        <v>17</v>
      </c>
      <c r="J17" s="257" t="s">
        <v>13</v>
      </c>
      <c r="K17" s="258" t="s">
        <v>18</v>
      </c>
      <c r="M17" s="75" t="s">
        <v>1248</v>
      </c>
      <c r="O17" s="95">
        <v>5</v>
      </c>
      <c r="R17" s="259"/>
      <c r="AK17" s="75" t="s">
        <v>720</v>
      </c>
      <c r="AL17" s="75">
        <v>7</v>
      </c>
      <c r="AM17" s="75">
        <v>31</v>
      </c>
    </row>
    <row r="18" spans="2:40" ht="15.75" x14ac:dyDescent="0.25">
      <c r="B18" s="95" t="s">
        <v>1438</v>
      </c>
      <c r="F18" s="255" t="s">
        <v>100</v>
      </c>
      <c r="G18" s="256">
        <v>18</v>
      </c>
      <c r="J18" s="257" t="s">
        <v>13</v>
      </c>
      <c r="K18" s="267" t="s">
        <v>23</v>
      </c>
      <c r="M18" s="75" t="s">
        <v>1249</v>
      </c>
      <c r="O18" s="95">
        <v>10</v>
      </c>
      <c r="R18" s="260"/>
      <c r="AK18" s="75" t="s">
        <v>721</v>
      </c>
      <c r="AL18" s="75">
        <v>8</v>
      </c>
      <c r="AM18" s="75">
        <v>31</v>
      </c>
    </row>
    <row r="19" spans="2:40" ht="15.75" x14ac:dyDescent="0.25">
      <c r="B19" s="95" t="s">
        <v>1439</v>
      </c>
      <c r="F19" s="250" t="s">
        <v>102</v>
      </c>
      <c r="G19" s="251">
        <v>19</v>
      </c>
      <c r="J19" s="257" t="s">
        <v>13</v>
      </c>
      <c r="K19" s="258" t="s">
        <v>20</v>
      </c>
      <c r="M19" s="75" t="s">
        <v>1250</v>
      </c>
      <c r="O19" s="95">
        <v>15</v>
      </c>
      <c r="AK19" s="75" t="s">
        <v>722</v>
      </c>
      <c r="AL19" s="75">
        <v>9</v>
      </c>
      <c r="AM19" s="75">
        <v>30</v>
      </c>
    </row>
    <row r="20" spans="2:40" ht="15.75" x14ac:dyDescent="0.25">
      <c r="B20" s="268" t="s">
        <v>1440</v>
      </c>
      <c r="F20" s="255" t="s">
        <v>615</v>
      </c>
      <c r="G20" s="256">
        <v>20</v>
      </c>
      <c r="J20" s="257" t="s">
        <v>13</v>
      </c>
      <c r="K20" s="258" t="s">
        <v>22</v>
      </c>
      <c r="M20" s="75" t="s">
        <v>1530</v>
      </c>
      <c r="O20" s="95">
        <v>20</v>
      </c>
      <c r="R20" s="248"/>
      <c r="AK20" s="75" t="s">
        <v>727</v>
      </c>
      <c r="AL20" s="75">
        <v>10</v>
      </c>
      <c r="AM20" s="75">
        <v>31</v>
      </c>
    </row>
    <row r="21" spans="2:40" ht="15.75" x14ac:dyDescent="0.25">
      <c r="B21" s="269" t="s">
        <v>1489</v>
      </c>
      <c r="F21" s="250" t="s">
        <v>616</v>
      </c>
      <c r="G21" s="251">
        <v>21</v>
      </c>
      <c r="J21" s="257" t="s">
        <v>13</v>
      </c>
      <c r="K21" s="258" t="s">
        <v>34</v>
      </c>
      <c r="O21" s="95">
        <v>25</v>
      </c>
      <c r="R21" s="253"/>
      <c r="AK21" s="75" t="s">
        <v>533</v>
      </c>
      <c r="AL21" s="75">
        <v>11</v>
      </c>
      <c r="AM21" s="75">
        <v>30</v>
      </c>
    </row>
    <row r="22" spans="2:40" ht="36" customHeight="1" x14ac:dyDescent="0.25">
      <c r="B22" s="268" t="s">
        <v>609</v>
      </c>
      <c r="F22" s="255" t="s">
        <v>113</v>
      </c>
      <c r="G22" s="256">
        <v>22</v>
      </c>
      <c r="J22" s="257" t="s">
        <v>13</v>
      </c>
      <c r="K22" s="258" t="s">
        <v>35</v>
      </c>
      <c r="M22" s="249" t="s">
        <v>1251</v>
      </c>
      <c r="O22" s="95">
        <v>30</v>
      </c>
      <c r="R22" s="259"/>
      <c r="AK22" s="75" t="s">
        <v>534</v>
      </c>
      <c r="AL22" s="75">
        <v>12</v>
      </c>
      <c r="AM22" s="75">
        <v>31</v>
      </c>
    </row>
    <row r="23" spans="2:40" ht="24" x14ac:dyDescent="0.25">
      <c r="B23" s="268" t="s">
        <v>1397</v>
      </c>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42886</v>
      </c>
      <c r="AM24" s="1407"/>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B28" s="270"/>
      <c r="F28" s="255" t="s">
        <v>49</v>
      </c>
      <c r="G28" s="256">
        <v>28</v>
      </c>
      <c r="J28" s="257" t="s">
        <v>13</v>
      </c>
      <c r="K28" s="258" t="s">
        <v>28</v>
      </c>
      <c r="M28" s="254" t="s">
        <v>1269</v>
      </c>
      <c r="R28" s="253"/>
    </row>
    <row r="29" spans="2:40" ht="15.75" customHeight="1" x14ac:dyDescent="0.25">
      <c r="F29" s="250" t="s">
        <v>185</v>
      </c>
      <c r="G29" s="251">
        <v>29</v>
      </c>
      <c r="J29" s="257" t="s">
        <v>13</v>
      </c>
      <c r="K29" s="258" t="s">
        <v>30</v>
      </c>
      <c r="M29" s="75" t="s">
        <v>1253</v>
      </c>
      <c r="R29" s="260"/>
    </row>
    <row r="30" spans="2:40" ht="24" x14ac:dyDescent="0.25">
      <c r="B30" s="1524" t="s">
        <v>1527</v>
      </c>
      <c r="C30" s="1524"/>
      <c r="D30" s="1524"/>
      <c r="F30" s="255" t="s">
        <v>188</v>
      </c>
      <c r="G30" s="256">
        <v>30</v>
      </c>
      <c r="J30" s="257" t="s">
        <v>13</v>
      </c>
      <c r="K30" s="258" t="s">
        <v>31</v>
      </c>
      <c r="M30" s="75" t="s">
        <v>1254</v>
      </c>
      <c r="R30" s="260"/>
    </row>
    <row r="31" spans="2:40" ht="15.75" x14ac:dyDescent="0.25">
      <c r="B31" s="95" t="s">
        <v>519</v>
      </c>
      <c r="C31" s="239" t="b">
        <v>0</v>
      </c>
      <c r="D31" s="95">
        <f t="shared" ref="D31:D48" si="0">IF(C31=TRUE,1,0)</f>
        <v>0</v>
      </c>
      <c r="F31" s="250" t="s">
        <v>190</v>
      </c>
      <c r="G31" s="251">
        <v>31</v>
      </c>
      <c r="J31" s="257" t="s">
        <v>13</v>
      </c>
      <c r="K31" s="258" t="s">
        <v>32</v>
      </c>
      <c r="N31" s="101" t="s">
        <v>864</v>
      </c>
      <c r="R31" s="259"/>
    </row>
    <row r="32" spans="2:40" ht="15.75" x14ac:dyDescent="0.25">
      <c r="B32" s="95" t="s">
        <v>521</v>
      </c>
      <c r="C32" s="239" t="b">
        <v>1</v>
      </c>
      <c r="D32" s="95">
        <f t="shared" si="0"/>
        <v>1</v>
      </c>
      <c r="F32" s="255" t="s">
        <v>617</v>
      </c>
      <c r="G32" s="256">
        <v>32</v>
      </c>
      <c r="J32" s="257" t="s">
        <v>13</v>
      </c>
      <c r="K32" s="258" t="s">
        <v>33</v>
      </c>
      <c r="N32" s="254" t="s">
        <v>1271</v>
      </c>
      <c r="R32" s="260"/>
    </row>
    <row r="33" spans="2:25" ht="15.75" x14ac:dyDescent="0.25">
      <c r="B33" s="95" t="s">
        <v>518</v>
      </c>
      <c r="C33" s="239" t="b">
        <v>1</v>
      </c>
      <c r="D33" s="95">
        <f t="shared" si="0"/>
        <v>1</v>
      </c>
      <c r="F33" s="250" t="s">
        <v>52</v>
      </c>
      <c r="G33" s="251">
        <v>33</v>
      </c>
      <c r="J33" s="257" t="s">
        <v>13</v>
      </c>
      <c r="K33" s="258" t="s">
        <v>19</v>
      </c>
      <c r="N33" s="75" t="s">
        <v>1258</v>
      </c>
      <c r="R33" s="259"/>
    </row>
    <row r="34" spans="2:25" ht="15.75" x14ac:dyDescent="0.25">
      <c r="B34" s="95" t="s">
        <v>520</v>
      </c>
      <c r="C34" s="239" t="b">
        <v>0</v>
      </c>
      <c r="D34" s="95">
        <f t="shared" si="0"/>
        <v>0</v>
      </c>
      <c r="F34" s="255" t="s">
        <v>202</v>
      </c>
      <c r="G34" s="256">
        <v>34</v>
      </c>
      <c r="J34" s="257" t="s">
        <v>13</v>
      </c>
      <c r="K34" s="258" t="s">
        <v>26</v>
      </c>
      <c r="N34" s="75" t="s">
        <v>1259</v>
      </c>
    </row>
    <row r="35" spans="2:25" ht="15.75" x14ac:dyDescent="0.25">
      <c r="B35" s="98" t="s">
        <v>1389</v>
      </c>
      <c r="C35" s="273" t="b">
        <v>1</v>
      </c>
      <c r="D35" s="98">
        <f t="shared" si="0"/>
        <v>1</v>
      </c>
      <c r="F35" s="250" t="s">
        <v>618</v>
      </c>
      <c r="G35" s="251">
        <v>35</v>
      </c>
      <c r="J35" s="257" t="s">
        <v>13</v>
      </c>
      <c r="K35" s="258" t="s">
        <v>21</v>
      </c>
      <c r="N35" s="75" t="s">
        <v>1260</v>
      </c>
      <c r="R35" s="248"/>
    </row>
    <row r="36" spans="2:25" ht="15.75" x14ac:dyDescent="0.25">
      <c r="B36" s="98" t="s">
        <v>1390</v>
      </c>
      <c r="C36" s="273" t="b">
        <v>1</v>
      </c>
      <c r="D36" s="98">
        <f t="shared" si="0"/>
        <v>1</v>
      </c>
      <c r="F36" s="255" t="s">
        <v>67</v>
      </c>
      <c r="G36" s="256">
        <v>36</v>
      </c>
      <c r="J36" s="257" t="s">
        <v>36</v>
      </c>
      <c r="K36" s="258" t="s">
        <v>37</v>
      </c>
      <c r="N36" s="75" t="s">
        <v>1264</v>
      </c>
      <c r="R36" s="253"/>
    </row>
    <row r="37" spans="2:25" ht="15.75" x14ac:dyDescent="0.25">
      <c r="B37" s="98" t="s">
        <v>1391</v>
      </c>
      <c r="C37" s="273" t="b">
        <v>1</v>
      </c>
      <c r="D37" s="98">
        <f t="shared" si="0"/>
        <v>1</v>
      </c>
      <c r="F37" s="250" t="s">
        <v>226</v>
      </c>
      <c r="G37" s="251">
        <v>37</v>
      </c>
      <c r="J37" s="257" t="s">
        <v>36</v>
      </c>
      <c r="K37" s="258" t="s">
        <v>38</v>
      </c>
      <c r="N37" s="75" t="s">
        <v>1265</v>
      </c>
      <c r="R37" s="260"/>
    </row>
    <row r="38" spans="2:25" ht="15.75" x14ac:dyDescent="0.25">
      <c r="B38" s="98" t="s">
        <v>1393</v>
      </c>
      <c r="C38" s="273" t="b">
        <v>1</v>
      </c>
      <c r="D38" s="98">
        <f t="shared" si="0"/>
        <v>1</v>
      </c>
      <c r="F38" s="255" t="s">
        <v>229</v>
      </c>
      <c r="G38" s="256">
        <v>38</v>
      </c>
      <c r="J38" s="257" t="s">
        <v>36</v>
      </c>
      <c r="K38" s="258" t="s">
        <v>39</v>
      </c>
      <c r="N38" s="75" t="s">
        <v>1261</v>
      </c>
      <c r="R38" s="260"/>
    </row>
    <row r="39" spans="2:25" ht="15.75" x14ac:dyDescent="0.25">
      <c r="B39" s="98" t="s">
        <v>1394</v>
      </c>
      <c r="C39" s="273" t="b">
        <v>1</v>
      </c>
      <c r="D39" s="98">
        <f t="shared" si="0"/>
        <v>1</v>
      </c>
      <c r="F39" s="250" t="s">
        <v>238</v>
      </c>
      <c r="G39" s="251">
        <v>39</v>
      </c>
      <c r="J39" s="257" t="s">
        <v>36</v>
      </c>
      <c r="K39" s="258" t="s">
        <v>41</v>
      </c>
      <c r="N39" s="75" t="s">
        <v>1262</v>
      </c>
      <c r="R39" s="259"/>
    </row>
    <row r="40" spans="2:25" ht="15.75" x14ac:dyDescent="0.25">
      <c r="B40" s="98" t="s">
        <v>1495</v>
      </c>
      <c r="C40" s="273" t="b">
        <v>0</v>
      </c>
      <c r="D40" s="98">
        <f t="shared" si="0"/>
        <v>0</v>
      </c>
      <c r="F40" s="255" t="s">
        <v>242</v>
      </c>
      <c r="G40" s="256">
        <v>40</v>
      </c>
      <c r="J40" s="257" t="s">
        <v>36</v>
      </c>
      <c r="K40" s="258" t="s">
        <v>40</v>
      </c>
      <c r="N40" s="75" t="s">
        <v>1263</v>
      </c>
      <c r="R40" s="260"/>
    </row>
    <row r="41" spans="2:25" ht="15.75" x14ac:dyDescent="0.25">
      <c r="B41" s="98" t="s">
        <v>1517</v>
      </c>
      <c r="C41" s="273" t="b">
        <v>0</v>
      </c>
      <c r="D41" s="98">
        <f t="shared" si="0"/>
        <v>0</v>
      </c>
      <c r="F41" s="250" t="s">
        <v>246</v>
      </c>
      <c r="G41" s="251">
        <v>41</v>
      </c>
      <c r="J41" s="257" t="s">
        <v>36</v>
      </c>
      <c r="K41" s="258" t="s">
        <v>42</v>
      </c>
      <c r="R41" s="259"/>
    </row>
    <row r="42" spans="2:25" ht="15.75" x14ac:dyDescent="0.25">
      <c r="B42" s="98" t="s">
        <v>1518</v>
      </c>
      <c r="C42" s="273" t="b">
        <v>1</v>
      </c>
      <c r="D42" s="98">
        <f t="shared" si="0"/>
        <v>1</v>
      </c>
      <c r="F42" s="255" t="s">
        <v>248</v>
      </c>
      <c r="G42" s="256">
        <v>42</v>
      </c>
      <c r="J42" s="257" t="s">
        <v>36</v>
      </c>
      <c r="K42" s="258" t="s">
        <v>43</v>
      </c>
    </row>
    <row r="43" spans="2:25" ht="15.75" x14ac:dyDescent="0.25">
      <c r="B43" s="98" t="s">
        <v>1519</v>
      </c>
      <c r="C43" s="273" t="b">
        <v>0</v>
      </c>
      <c r="D43" s="98">
        <f t="shared" si="0"/>
        <v>0</v>
      </c>
      <c r="F43" s="250" t="s">
        <v>619</v>
      </c>
      <c r="G43" s="251">
        <v>43</v>
      </c>
      <c r="J43" s="275" t="s">
        <v>44</v>
      </c>
      <c r="K43" s="267" t="s">
        <v>45</v>
      </c>
      <c r="N43" s="75" t="s">
        <v>801</v>
      </c>
      <c r="R43" s="248"/>
    </row>
    <row r="44" spans="2:25" ht="15.75" x14ac:dyDescent="0.25">
      <c r="B44" s="274" t="s">
        <v>1532</v>
      </c>
      <c r="C44" s="211" t="b">
        <v>0</v>
      </c>
      <c r="D44" s="98">
        <f t="shared" si="0"/>
        <v>0</v>
      </c>
      <c r="F44" s="255" t="s">
        <v>254</v>
      </c>
      <c r="G44" s="256">
        <v>44</v>
      </c>
      <c r="J44" s="275" t="s">
        <v>44</v>
      </c>
      <c r="K44" s="258" t="s">
        <v>46</v>
      </c>
      <c r="N44" s="254" t="s">
        <v>1270</v>
      </c>
      <c r="R44" s="253"/>
    </row>
    <row r="45" spans="2:25" ht="15.75" x14ac:dyDescent="0.25">
      <c r="B45" s="274" t="s">
        <v>1533</v>
      </c>
      <c r="C45" s="211" t="b">
        <v>0</v>
      </c>
      <c r="D45" s="276">
        <f t="shared" si="0"/>
        <v>0</v>
      </c>
      <c r="F45" s="250" t="s">
        <v>265</v>
      </c>
      <c r="G45" s="251">
        <v>45</v>
      </c>
      <c r="J45" s="275" t="s">
        <v>47</v>
      </c>
      <c r="K45" s="258" t="s">
        <v>48</v>
      </c>
      <c r="N45" s="277" t="s">
        <v>1266</v>
      </c>
      <c r="R45" s="259"/>
    </row>
    <row r="46" spans="2:25" ht="15.75" x14ac:dyDescent="0.25">
      <c r="B46" s="95" t="s">
        <v>1540</v>
      </c>
      <c r="C46" s="239" t="b">
        <v>0</v>
      </c>
      <c r="D46" s="276">
        <f t="shared" si="0"/>
        <v>0</v>
      </c>
      <c r="F46" s="255" t="s">
        <v>267</v>
      </c>
      <c r="G46" s="256">
        <v>46</v>
      </c>
      <c r="J46" s="275" t="s">
        <v>50</v>
      </c>
      <c r="K46" s="258" t="s">
        <v>51</v>
      </c>
      <c r="N46" s="277" t="s">
        <v>1267</v>
      </c>
    </row>
    <row r="47" spans="2:25" ht="15.75" x14ac:dyDescent="0.2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x14ac:dyDescent="0.25">
      <c r="B48" s="95" t="s">
        <v>1596</v>
      </c>
      <c r="C48" s="239" t="b">
        <v>0</v>
      </c>
      <c r="D48" s="276">
        <f t="shared" si="0"/>
        <v>0</v>
      </c>
      <c r="F48" s="255" t="s">
        <v>269</v>
      </c>
      <c r="G48" s="256">
        <v>48</v>
      </c>
      <c r="J48" s="275" t="s">
        <v>409</v>
      </c>
      <c r="K48" s="258" t="s">
        <v>410</v>
      </c>
      <c r="Y48" s="254" t="s">
        <v>461</v>
      </c>
    </row>
    <row r="49" spans="2:25" ht="15.75" x14ac:dyDescent="0.25">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75" x14ac:dyDescent="0.25">
      <c r="B50" s="95" t="s">
        <v>1536</v>
      </c>
      <c r="C50" s="161">
        <f>IF(OR(SUM('Список мероприятий'!Z6:Z77)&gt;0),1,0)</f>
        <v>0</v>
      </c>
      <c r="D50" s="95" t="s">
        <v>1912</v>
      </c>
      <c r="F50" s="255" t="s">
        <v>2</v>
      </c>
      <c r="G50" s="256">
        <v>50</v>
      </c>
      <c r="J50" s="275" t="s">
        <v>293</v>
      </c>
      <c r="K50" s="258" t="s">
        <v>413</v>
      </c>
      <c r="N50" s="254"/>
      <c r="Y50" s="75" t="s">
        <v>1906</v>
      </c>
    </row>
    <row r="51" spans="2:25" ht="15.75" x14ac:dyDescent="0.25">
      <c r="B51" s="95" t="s">
        <v>1537</v>
      </c>
      <c r="C51" s="161">
        <f>IF(OR(C49&gt;0,C50&gt;0,C52&gt;0),1,0)</f>
        <v>0</v>
      </c>
      <c r="D51" s="95"/>
      <c r="F51" s="250" t="s">
        <v>68</v>
      </c>
      <c r="G51" s="251">
        <v>51</v>
      </c>
      <c r="J51" s="275" t="s">
        <v>293</v>
      </c>
      <c r="K51" s="267" t="s">
        <v>414</v>
      </c>
      <c r="Y51" s="75" t="s">
        <v>1907</v>
      </c>
    </row>
    <row r="52" spans="2:25" ht="15.75" x14ac:dyDescent="0.2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x14ac:dyDescent="0.25">
      <c r="B53" s="75" t="s">
        <v>1908</v>
      </c>
      <c r="C53" s="75">
        <f>IF(AND(C49=0,C52=0),1,0)</f>
        <v>1</v>
      </c>
      <c r="F53" s="250" t="s">
        <v>458</v>
      </c>
      <c r="G53" s="251">
        <v>53</v>
      </c>
      <c r="J53" s="275" t="s">
        <v>293</v>
      </c>
      <c r="K53" s="258" t="s">
        <v>416</v>
      </c>
    </row>
    <row r="54" spans="2:25" ht="17.25" x14ac:dyDescent="0.25">
      <c r="F54" s="255" t="s">
        <v>329</v>
      </c>
      <c r="G54" s="256">
        <v>54</v>
      </c>
      <c r="J54" s="275" t="s">
        <v>293</v>
      </c>
      <c r="K54" s="267" t="s">
        <v>412</v>
      </c>
      <c r="Y54" s="75" t="s">
        <v>1910</v>
      </c>
    </row>
    <row r="55" spans="2:25" ht="17.25" x14ac:dyDescent="0.25">
      <c r="F55" s="250" t="s">
        <v>145</v>
      </c>
      <c r="G55" s="251">
        <v>55</v>
      </c>
      <c r="J55" s="275" t="s">
        <v>419</v>
      </c>
      <c r="K55" s="258" t="s">
        <v>418</v>
      </c>
      <c r="Y55" s="75" t="s">
        <v>1911</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1635</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1634</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1597</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1598</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zoomScale="82" zoomScaleNormal="82" workbookViewId="0">
      <pane ySplit="1" topLeftCell="A215" activePane="bottomLeft" state="frozen"/>
      <selection pane="bottomLeft" activeCell="F223" sqref="F223:F234"/>
    </sheetView>
  </sheetViews>
  <sheetFormatPr defaultRowHeight="15" x14ac:dyDescent="0.25"/>
  <cols>
    <col min="1" max="1" width="0.7109375" style="1292" customWidth="1"/>
    <col min="2" max="2" width="5" style="1480"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x14ac:dyDescent="0.25">
      <c r="A1" s="1292"/>
      <c r="B1" s="1474"/>
      <c r="C1" s="1373" t="s">
        <v>1661</v>
      </c>
      <c r="D1" s="1319"/>
      <c r="E1" s="1374" t="s">
        <v>1654</v>
      </c>
      <c r="F1" s="1534"/>
      <c r="G1" s="1534"/>
      <c r="H1" s="1534"/>
      <c r="I1" s="1534"/>
      <c r="J1" s="1534"/>
      <c r="K1" s="1534"/>
      <c r="L1" s="1534"/>
      <c r="M1" s="1534"/>
      <c r="N1" s="1534"/>
      <c r="O1" s="1534"/>
      <c r="P1" s="1534"/>
      <c r="Q1" s="1534"/>
      <c r="R1" s="1534"/>
      <c r="S1" s="1534"/>
      <c r="T1" s="1534"/>
      <c r="U1" s="1534"/>
      <c r="V1" s="1534"/>
      <c r="W1" s="1534"/>
      <c r="X1" s="1534"/>
      <c r="Y1" s="1534"/>
      <c r="Z1" s="1318"/>
    </row>
    <row r="2" spans="1:26" s="17" customFormat="1" ht="15" customHeight="1" x14ac:dyDescent="0.25">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2"/>
      <c r="B3" s="1475"/>
      <c r="C3" s="1569" t="s">
        <v>1756</v>
      </c>
      <c r="D3" s="157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2"/>
      <c r="B4" s="1475"/>
      <c r="C4" s="1569"/>
      <c r="D4" s="1570"/>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2"/>
      <c r="B5" s="1475"/>
      <c r="C5" s="1569"/>
      <c r="D5" s="1570"/>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2"/>
      <c r="B6" s="1475"/>
      <c r="C6" s="1534"/>
      <c r="D6" s="1570"/>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476">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25">
      <c r="B9" s="1477">
        <v>1</v>
      </c>
      <c r="C9" s="1286" t="s">
        <v>1864</v>
      </c>
      <c r="D9" s="71" t="s">
        <v>1947</v>
      </c>
      <c r="E9" s="1481"/>
      <c r="F9" s="74"/>
      <c r="G9" s="10"/>
      <c r="H9" s="10"/>
      <c r="I9" s="10"/>
      <c r="J9" s="10"/>
      <c r="K9" s="10"/>
      <c r="L9" s="18"/>
      <c r="M9" s="18"/>
      <c r="N9" s="18"/>
      <c r="O9" s="18"/>
      <c r="P9" s="18"/>
      <c r="Q9" s="18"/>
      <c r="R9" s="18"/>
      <c r="S9" s="18"/>
      <c r="T9" s="18"/>
      <c r="U9" s="18"/>
      <c r="V9" s="18"/>
      <c r="W9" s="18"/>
      <c r="X9" s="18"/>
      <c r="Y9" s="18"/>
      <c r="Z9" s="18"/>
    </row>
    <row r="10" spans="1:26" x14ac:dyDescent="0.25">
      <c r="B10" s="1477">
        <v>2</v>
      </c>
      <c r="C10" s="1286" t="s">
        <v>752</v>
      </c>
      <c r="D10" s="71" t="s">
        <v>229</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477">
        <v>3</v>
      </c>
      <c r="C11" s="1287" t="s">
        <v>753</v>
      </c>
      <c r="D11" s="71" t="s">
        <v>236</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477">
        <v>4</v>
      </c>
      <c r="C12" s="1287" t="s">
        <v>810</v>
      </c>
      <c r="D12" s="71">
        <v>2007</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2"/>
      <c r="B13" s="1499" t="s">
        <v>1913</v>
      </c>
      <c r="C13" s="1495" t="s">
        <v>1904</v>
      </c>
      <c r="D13" s="71" t="str">
        <f>IF(ISBLANK(D12),
        INDEX(snipyear,1),
        IF(D12&lt;=1996,
                INDEX(snipyear,2),
                IF(D12&lt;2001,
                        INDEX(snipyear,3),
                        INDEX(snipyear,4))))</f>
        <v>после 2000 г.</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x14ac:dyDescent="0.25">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2"/>
      <c r="B15" s="1564">
        <v>6</v>
      </c>
      <c r="C15" s="1573"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2"/>
      <c r="B16" s="1564"/>
      <c r="C16" s="1573"/>
      <c r="D16" s="1290" t="s">
        <v>926</v>
      </c>
      <c r="E16" s="1572"/>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477">
        <v>7</v>
      </c>
      <c r="C17" s="1288" t="s">
        <v>1758</v>
      </c>
      <c r="D17" s="71">
        <v>8</v>
      </c>
      <c r="E17" s="1540"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2"/>
      <c r="B18" s="1477">
        <v>8</v>
      </c>
      <c r="C18" s="1288"/>
      <c r="D18" s="1291"/>
      <c r="E18" s="1540"/>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477">
        <v>9</v>
      </c>
      <c r="C19" s="1286" t="s">
        <v>1496</v>
      </c>
      <c r="D19" s="71">
        <v>9</v>
      </c>
      <c r="E19" s="1540"/>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477">
        <v>10</v>
      </c>
      <c r="C20" s="1287" t="s">
        <v>1760</v>
      </c>
      <c r="D20" s="71">
        <v>155</v>
      </c>
      <c r="E20" s="1540"/>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477">
        <v>11</v>
      </c>
      <c r="C21" s="1288" t="s">
        <v>1274</v>
      </c>
      <c r="D21" s="71">
        <v>155</v>
      </c>
      <c r="E21" s="1540"/>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477">
        <v>12</v>
      </c>
      <c r="C22" s="1287" t="s">
        <v>755</v>
      </c>
      <c r="D22" s="71">
        <v>344</v>
      </c>
      <c r="E22" s="1483"/>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477">
        <v>13</v>
      </c>
      <c r="C23" s="1288" t="s">
        <v>1757</v>
      </c>
      <c r="D23" s="72">
        <v>3330.4</v>
      </c>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2"/>
      <c r="B24" s="1564">
        <v>14</v>
      </c>
      <c r="C24" s="1536" t="s">
        <v>1516</v>
      </c>
      <c r="D24" s="9"/>
      <c r="E24" s="1568" t="s">
        <v>1764</v>
      </c>
      <c r="F24" s="1544"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2"/>
      <c r="B25" s="1564"/>
      <c r="C25" s="1537"/>
      <c r="D25" s="9"/>
      <c r="E25" s="1568"/>
      <c r="F25" s="1544"/>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2"/>
      <c r="B26" s="1564"/>
      <c r="C26" s="1538"/>
      <c r="D26" s="9"/>
      <c r="E26" s="1568"/>
      <c r="F26" s="1544"/>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2"/>
      <c r="B29" s="1477">
        <v>17</v>
      </c>
      <c r="C29" s="1539"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2"/>
      <c r="B30" s="1477">
        <v>18</v>
      </c>
      <c r="C30" s="1539"/>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2"/>
      <c r="B31" s="1477">
        <v>19</v>
      </c>
      <c r="C31" s="1539"/>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477"/>
      <c r="C32" s="1294" t="s">
        <v>859</v>
      </c>
      <c r="D32" s="1296">
        <f>D33+D34+D35</f>
        <v>0</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477">
        <v>20</v>
      </c>
      <c r="C33" s="1289" t="s">
        <v>762</v>
      </c>
      <c r="D33" s="1295"/>
      <c r="E33" s="155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477">
        <v>21</v>
      </c>
      <c r="C34" s="1289" t="s">
        <v>763</v>
      </c>
      <c r="D34" s="72"/>
      <c r="E34" s="155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2"/>
      <c r="B35" s="1477">
        <f>B34+1</f>
        <v>22</v>
      </c>
      <c r="C35" s="1289" t="s">
        <v>1587</v>
      </c>
      <c r="D35" s="72">
        <v>0</v>
      </c>
      <c r="E35" s="156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2"/>
      <c r="B38" s="1436"/>
      <c r="C38" s="1545" t="s">
        <v>1808</v>
      </c>
      <c r="D38" s="1545"/>
      <c r="E38" s="1545"/>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2"/>
      <c r="B40" s="1436"/>
      <c r="C40" s="1541" t="s">
        <v>1810</v>
      </c>
      <c r="D40" s="1541"/>
      <c r="E40" s="1541"/>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476">
        <f>2/8</f>
        <v>0.25</v>
      </c>
      <c r="C42" s="1555" t="s">
        <v>1452</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25">
      <c r="B44" s="1477">
        <f>B36+1</f>
        <v>24</v>
      </c>
      <c r="C44" s="1297" t="s">
        <v>1766</v>
      </c>
      <c r="D44" s="1304">
        <v>33682.400000000001</v>
      </c>
      <c r="E44" s="1485" t="s">
        <v>1777</v>
      </c>
      <c r="F44" s="1438"/>
      <c r="G44" s="1306">
        <f>IF($D$14=списки!$B$3,D44,'Серии планировка'!F76)</f>
        <v>33682.400000000001</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477">
        <f>B44+1</f>
        <v>25</v>
      </c>
      <c r="C45" s="1294" t="s">
        <v>1767</v>
      </c>
      <c r="D45" s="1304">
        <f>18072.7+D23*3</f>
        <v>28063.9</v>
      </c>
      <c r="E45" s="1486" t="s">
        <v>1778</v>
      </c>
      <c r="F45" s="1438" t="str">
        <f>IF(AND(D45&lt;&gt;0,$D$14="нет в списке",D45&gt;=D44),"Ошибка. Значение должно быть меньше общей площади","")</f>
        <v/>
      </c>
      <c r="G45" s="1306">
        <f>IF($D$14=списки!$B$3,D45,'Серии планировка'!G76)</f>
        <v>28063.9</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2"/>
      <c r="B46" s="1477">
        <f t="shared" ref="B46:B66" si="1">B45+1</f>
        <v>26</v>
      </c>
      <c r="C46" s="1521" t="s">
        <v>1776</v>
      </c>
      <c r="D46" s="1304">
        <v>11466.9</v>
      </c>
      <c r="E46" s="1486" t="s">
        <v>1779</v>
      </c>
      <c r="F46" s="1438" t="str">
        <f>IF(AND(D46&lt;&gt;0,$D$14="нет в списке",D46&gt;=D45),"Ошибка. Значение должно быть меньше площади квартир","")</f>
        <v/>
      </c>
      <c r="G46" s="1306">
        <f>IF($D$14=списки!$B$3,D46,'Серии планировка'!H76)</f>
        <v>11466.9</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2"/>
      <c r="B47" s="1477">
        <f>B46+1</f>
        <v>27</v>
      </c>
      <c r="C47" s="1521" t="s">
        <v>1558</v>
      </c>
      <c r="D47" s="1305">
        <v>251.48</v>
      </c>
      <c r="E47" s="1486" t="s">
        <v>1560</v>
      </c>
      <c r="F47" s="1438"/>
      <c r="G47" s="1307">
        <f>IF($D$14=списки!$B$3,D47,'Серии планировка'!$L$76)</f>
        <v>251.48</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2"/>
      <c r="B48" s="1477">
        <f t="shared" si="1"/>
        <v>28</v>
      </c>
      <c r="C48" s="1521" t="s">
        <v>1559</v>
      </c>
      <c r="D48" s="1305">
        <v>16</v>
      </c>
      <c r="E48" s="1486" t="s">
        <v>1561</v>
      </c>
      <c r="F48" s="1438"/>
      <c r="G48" s="1306">
        <f>IF($D$14=списки!$B$3,D48,'Серии планировка'!$M$76)</f>
        <v>16</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2"/>
      <c r="B49" s="1477">
        <f t="shared" si="1"/>
        <v>29</v>
      </c>
      <c r="C49" s="1521" t="s">
        <v>1557</v>
      </c>
      <c r="D49" s="1305">
        <v>27</v>
      </c>
      <c r="E49" s="1486" t="s">
        <v>1632</v>
      </c>
      <c r="F49" s="1438"/>
      <c r="G49" s="1306">
        <f>IF($D$14=списки!$B$3,D49,'Серии планировка'!$J$76)</f>
        <v>27</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2"/>
      <c r="B50" s="1477">
        <f t="shared" si="1"/>
        <v>30</v>
      </c>
      <c r="C50" s="1521" t="s">
        <v>1784</v>
      </c>
      <c r="D50" s="1305">
        <v>14500</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14500</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25">
      <c r="B51" s="1477">
        <f t="shared" si="1"/>
        <v>31</v>
      </c>
      <c r="C51" s="1522" t="s">
        <v>1768</v>
      </c>
      <c r="D51" s="1301">
        <f>D50-D53-D56-D59-D66</f>
        <v>12544</v>
      </c>
      <c r="E51" s="1486" t="s">
        <v>1780</v>
      </c>
      <c r="F51" s="1438" t="str">
        <f>IF(AND(D51&lt;&gt;0,$D$14="нет в списке",D51&gt;=D50),"Ошибка. Значение должно быть меньше площади фасадов","")</f>
        <v/>
      </c>
      <c r="G51" s="1308">
        <f>G50-G53-G56-G59-G66</f>
        <v>12544</v>
      </c>
      <c r="H51" s="18"/>
      <c r="I51" s="1306">
        <f t="shared" si="2"/>
        <v>0</v>
      </c>
      <c r="J51" s="10"/>
      <c r="K51" s="10"/>
      <c r="L51" s="18"/>
      <c r="M51" s="18"/>
      <c r="N51" s="18"/>
      <c r="O51" s="18"/>
      <c r="P51" s="18"/>
      <c r="Q51" s="18"/>
      <c r="R51" s="18"/>
      <c r="S51" s="18"/>
      <c r="T51" s="18"/>
      <c r="U51" s="18"/>
      <c r="V51" s="18"/>
      <c r="W51" s="18"/>
      <c r="X51" s="18"/>
      <c r="Y51" s="18"/>
      <c r="Z51" s="18"/>
    </row>
    <row r="52" spans="1:26" ht="36" x14ac:dyDescent="0.25">
      <c r="B52" s="1477">
        <f t="shared" si="1"/>
        <v>32</v>
      </c>
      <c r="C52" s="1294" t="s">
        <v>821</v>
      </c>
      <c r="D52" s="1300">
        <v>700</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700</v>
      </c>
      <c r="H52" s="18"/>
      <c r="I52" s="1306">
        <f t="shared" si="2"/>
        <v>0</v>
      </c>
      <c r="J52" s="10"/>
      <c r="K52" s="10"/>
      <c r="L52" s="18"/>
      <c r="M52" s="18"/>
      <c r="N52" s="18"/>
      <c r="O52" s="18"/>
      <c r="P52" s="18"/>
      <c r="Q52" s="18"/>
      <c r="R52" s="18"/>
      <c r="S52" s="18"/>
      <c r="T52" s="18"/>
      <c r="U52" s="18"/>
      <c r="V52" s="18"/>
      <c r="W52" s="18"/>
      <c r="X52" s="18"/>
      <c r="Y52" s="18"/>
      <c r="Z52" s="18"/>
    </row>
    <row r="53" spans="1:26" ht="17.25" x14ac:dyDescent="0.25">
      <c r="B53" s="1477">
        <f t="shared" si="1"/>
        <v>33</v>
      </c>
      <c r="C53" s="1294" t="s">
        <v>1769</v>
      </c>
      <c r="D53" s="1303">
        <v>1520</v>
      </c>
      <c r="E53" s="1486" t="s">
        <v>1782</v>
      </c>
      <c r="F53" s="1438"/>
      <c r="G53" s="1306">
        <f>IF($D$14=списки!$B$3,D53,'Серии планировка'!T76)</f>
        <v>1520</v>
      </c>
      <c r="H53" s="18"/>
      <c r="I53" s="1306">
        <f t="shared" si="2"/>
        <v>0</v>
      </c>
      <c r="J53" s="10"/>
      <c r="K53" s="10"/>
      <c r="L53" s="18"/>
      <c r="M53" s="18"/>
      <c r="N53" s="18"/>
      <c r="O53" s="18"/>
      <c r="P53" s="18"/>
      <c r="Q53" s="18"/>
      <c r="R53" s="18"/>
      <c r="S53" s="18"/>
      <c r="T53" s="18"/>
      <c r="U53" s="18"/>
      <c r="V53" s="18"/>
      <c r="W53" s="18"/>
      <c r="X53" s="18"/>
      <c r="Y53" s="18"/>
      <c r="Z53" s="18"/>
    </row>
    <row r="54" spans="1:26" ht="30" x14ac:dyDescent="0.25">
      <c r="B54" s="1477">
        <f t="shared" si="1"/>
        <v>34</v>
      </c>
      <c r="C54" s="1521" t="s">
        <v>1278</v>
      </c>
      <c r="D54" s="1298" t="s">
        <v>1948</v>
      </c>
      <c r="E54" s="1486" t="s">
        <v>1786</v>
      </c>
      <c r="F54" s="1438"/>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25">
      <c r="B55" s="1477">
        <f t="shared" si="1"/>
        <v>35</v>
      </c>
      <c r="C55" s="1521" t="s">
        <v>860</v>
      </c>
      <c r="D55" s="1298">
        <v>100</v>
      </c>
      <c r="E55" s="1486" t="s">
        <v>1919</v>
      </c>
      <c r="F55" s="1438"/>
      <c r="G55" s="1306">
        <f>IF($D$14=списки!$B$3,D55,'Серии планировка'!R76)</f>
        <v>100</v>
      </c>
      <c r="H55" s="18"/>
      <c r="I55" s="1306">
        <f t="shared" si="2"/>
        <v>0</v>
      </c>
      <c r="J55" s="10"/>
      <c r="K55" s="18"/>
      <c r="L55" s="18"/>
      <c r="M55" s="18"/>
      <c r="N55" s="18"/>
      <c r="O55" s="18"/>
      <c r="P55" s="18"/>
      <c r="Q55" s="18"/>
      <c r="R55" s="18"/>
      <c r="S55" s="18"/>
      <c r="T55" s="18"/>
      <c r="U55" s="18"/>
      <c r="V55" s="18"/>
      <c r="W55" s="18"/>
      <c r="X55" s="18"/>
      <c r="Y55" s="18"/>
      <c r="Z55" s="18"/>
    </row>
    <row r="56" spans="1:26" ht="24" x14ac:dyDescent="0.25">
      <c r="B56" s="1477">
        <f t="shared" si="1"/>
        <v>36</v>
      </c>
      <c r="C56" s="1286" t="s">
        <v>1770</v>
      </c>
      <c r="D56" s="1302">
        <v>190</v>
      </c>
      <c r="E56" s="1486" t="s">
        <v>1787</v>
      </c>
      <c r="F56" s="1438"/>
      <c r="G56" s="1306">
        <f>IF($D$14=списки!$B$3,D56,'Серии планировка'!U76)</f>
        <v>190</v>
      </c>
      <c r="H56" s="18"/>
      <c r="I56" s="1306">
        <f t="shared" si="2"/>
        <v>0</v>
      </c>
      <c r="J56" s="10"/>
      <c r="K56" s="10"/>
      <c r="L56" s="18"/>
      <c r="M56" s="18"/>
      <c r="N56" s="18"/>
      <c r="O56" s="18"/>
      <c r="P56" s="18"/>
      <c r="Q56" s="18"/>
      <c r="R56" s="18"/>
      <c r="S56" s="18"/>
      <c r="T56" s="18"/>
      <c r="U56" s="18"/>
      <c r="V56" s="18"/>
      <c r="W56" s="18"/>
      <c r="X56" s="18"/>
      <c r="Y56" s="18"/>
      <c r="Z56" s="18"/>
    </row>
    <row r="57" spans="1:26" ht="30" x14ac:dyDescent="0.25">
      <c r="B57" s="1477">
        <f t="shared" si="1"/>
        <v>37</v>
      </c>
      <c r="C57" s="1521" t="s">
        <v>758</v>
      </c>
      <c r="D57" s="1298" t="s">
        <v>1948</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25">
      <c r="A58" s="1292"/>
      <c r="B58" s="1477">
        <f>B57+1</f>
        <v>38</v>
      </c>
      <c r="C58" s="1521" t="s">
        <v>1592</v>
      </c>
      <c r="D58" s="1299">
        <v>190</v>
      </c>
      <c r="E58" s="1486" t="s">
        <v>1789</v>
      </c>
      <c r="F58" s="1438"/>
      <c r="G58" s="1309">
        <f>IF($D$14=списки!$B$3,D58,ROUND((G52+G55)/D19*D23/('Серии планировка'!F76/'Серии планировка'!D76),0))</f>
        <v>190</v>
      </c>
      <c r="H58" s="18"/>
      <c r="I58" s="1306"/>
      <c r="J58" s="18"/>
      <c r="K58" s="18"/>
      <c r="L58" s="18"/>
      <c r="M58" s="18"/>
      <c r="N58" s="18"/>
      <c r="O58" s="18"/>
      <c r="P58" s="18"/>
      <c r="Q58" s="18"/>
      <c r="R58" s="18"/>
      <c r="S58" s="18"/>
      <c r="T58" s="18"/>
      <c r="U58" s="18"/>
      <c r="V58" s="18"/>
      <c r="W58" s="18"/>
      <c r="X58" s="18"/>
      <c r="Y58" s="18"/>
      <c r="Z58" s="18"/>
    </row>
    <row r="59" spans="1:26" s="17" customFormat="1" ht="24" x14ac:dyDescent="0.25">
      <c r="A59" s="1292"/>
      <c r="B59" s="1477">
        <f>B58+1</f>
        <v>39</v>
      </c>
      <c r="C59" s="1521" t="s">
        <v>1785</v>
      </c>
      <c r="D59" s="1302">
        <v>190</v>
      </c>
      <c r="E59" s="1486" t="s">
        <v>1787</v>
      </c>
      <c r="F59" s="1438"/>
      <c r="G59" s="1309">
        <f>IF($D$14=списки!$B$3,D59,(G53+G56)/D19*D23/('Серии планировка'!F76/'Серии планировка'!D76))</f>
        <v>190</v>
      </c>
      <c r="H59" s="18"/>
      <c r="I59" s="1306"/>
      <c r="J59" s="27"/>
      <c r="K59" s="18"/>
      <c r="L59" s="18"/>
      <c r="M59" s="18"/>
      <c r="N59" s="18"/>
      <c r="O59" s="18"/>
      <c r="P59" s="18"/>
      <c r="Q59" s="18"/>
      <c r="R59" s="18"/>
      <c r="S59" s="18"/>
      <c r="T59" s="18"/>
      <c r="U59" s="18"/>
      <c r="V59" s="18"/>
      <c r="W59" s="18"/>
      <c r="X59" s="18"/>
      <c r="Y59" s="18"/>
      <c r="Z59" s="18"/>
    </row>
    <row r="60" spans="1:26" ht="32.25" x14ac:dyDescent="0.25">
      <c r="B60" s="1477">
        <f t="shared" si="1"/>
        <v>40</v>
      </c>
      <c r="C60" s="1521" t="s">
        <v>1771</v>
      </c>
      <c r="D60" s="1302"/>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2"/>
      <c r="B61" s="1477">
        <f t="shared" si="1"/>
        <v>41</v>
      </c>
      <c r="C61" s="1521" t="s">
        <v>1772</v>
      </c>
      <c r="D61" s="1302"/>
      <c r="E61" s="1486" t="s">
        <v>1790</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25">
      <c r="B62" s="1477">
        <f t="shared" si="1"/>
        <v>42</v>
      </c>
      <c r="C62" s="1521" t="s">
        <v>1773</v>
      </c>
      <c r="D62" s="1302">
        <v>4399.2</v>
      </c>
      <c r="E62" s="1486" t="s">
        <v>1791</v>
      </c>
      <c r="F62" s="1438"/>
      <c r="G62" s="1306">
        <f>IF($D$14=списки!$B$3,D62,IF(AND(списки!D31=1,списки!D32=1),'Серии планировка'!X76,0))</f>
        <v>4399.2</v>
      </c>
      <c r="H62" s="18"/>
      <c r="I62" s="1306">
        <f t="shared" si="2"/>
        <v>0</v>
      </c>
      <c r="J62" s="10"/>
      <c r="K62" s="10"/>
      <c r="L62" s="18"/>
      <c r="M62" s="18"/>
      <c r="N62" s="18"/>
      <c r="O62" s="18"/>
      <c r="P62" s="18"/>
      <c r="Q62" s="18"/>
      <c r="R62" s="18"/>
      <c r="S62" s="18"/>
      <c r="T62" s="18"/>
      <c r="U62" s="18"/>
      <c r="V62" s="18"/>
      <c r="W62" s="18"/>
      <c r="X62" s="18"/>
      <c r="Y62" s="18"/>
      <c r="Z62" s="18"/>
    </row>
    <row r="63" spans="1:26" ht="36" x14ac:dyDescent="0.25">
      <c r="B63" s="1477">
        <f t="shared" si="1"/>
        <v>43</v>
      </c>
      <c r="C63" s="1521" t="s">
        <v>1774</v>
      </c>
      <c r="D63" s="1302">
        <v>4399</v>
      </c>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4399</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2"/>
      <c r="B64" s="1477">
        <f t="shared" si="1"/>
        <v>44</v>
      </c>
      <c r="C64" s="1521" t="s">
        <v>1775</v>
      </c>
      <c r="D64" s="1302"/>
      <c r="E64" s="1486" t="s">
        <v>1794</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2"/>
      <c r="B65" s="1477">
        <f t="shared" si="1"/>
        <v>45</v>
      </c>
      <c r="C65" s="1521" t="s">
        <v>1336</v>
      </c>
      <c r="D65" s="1299">
        <v>28</v>
      </c>
      <c r="E65" s="1565" t="s">
        <v>1918</v>
      </c>
      <c r="F65" s="1438" t="str">
        <f>IF(AND(D65&lt;&gt;0,$D$14="нет в списке",OR(D65&lt;D17,D65&gt;4*D17)),"Ошибка. Входных дверей может быть от 1 до 3 на секцию (подъезд)","")</f>
        <v/>
      </c>
      <c r="G65" s="1306">
        <f>IF($D$14=списки!$B$3,D65,'Серии планировка'!V76)</f>
        <v>28</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2"/>
      <c r="B66" s="1477">
        <f t="shared" si="1"/>
        <v>46</v>
      </c>
      <c r="C66" s="1521" t="s">
        <v>1795</v>
      </c>
      <c r="D66" s="1302">
        <v>56</v>
      </c>
      <c r="E66" s="1566"/>
      <c r="F66" s="1438" t="str">
        <f>IF(AND(D66&lt;&gt;0,$D$14="нет в списке",OR(D66&lt;D65*2,D66&gt;=6*D65)),"Ошибка. Площадь одной входной двери должна быть в пределах 2-5 м2","")</f>
        <v/>
      </c>
      <c r="G66" s="1306">
        <f>IF($D$14=списки!$B$3,D66,'Серии планировка'!W76)</f>
        <v>56</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25">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2"/>
      <c r="B69" s="1436"/>
      <c r="C69" s="1555" t="s">
        <v>1796</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2"/>
      <c r="B70" s="1477">
        <f>B66+1</f>
        <v>47</v>
      </c>
      <c r="C70" s="1313" t="s">
        <v>514</v>
      </c>
      <c r="D70" s="70"/>
      <c r="E70" s="1561"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2"/>
      <c r="B71" s="1477">
        <f>B70+1</f>
        <v>48</v>
      </c>
      <c r="C71" s="1313" t="s">
        <v>1583</v>
      </c>
      <c r="D71" s="70"/>
      <c r="E71" s="156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2"/>
      <c r="B72" s="1477">
        <f t="shared" ref="B72:B76" si="3">B71+1</f>
        <v>49</v>
      </c>
      <c r="C72" s="1313" t="s">
        <v>1584</v>
      </c>
      <c r="D72" s="70"/>
      <c r="E72" s="156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2"/>
      <c r="B73" s="1477">
        <f t="shared" si="3"/>
        <v>50</v>
      </c>
      <c r="C73" s="1313" t="s">
        <v>1588</v>
      </c>
      <c r="D73" s="70"/>
      <c r="E73" s="156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2"/>
      <c r="B74" s="1477">
        <f t="shared" si="3"/>
        <v>51</v>
      </c>
      <c r="C74" s="1313" t="s">
        <v>1585</v>
      </c>
      <c r="D74" s="70"/>
      <c r="E74" s="156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2"/>
      <c r="B75" s="1477">
        <f t="shared" si="3"/>
        <v>52</v>
      </c>
      <c r="C75" s="1313" t="s">
        <v>1586</v>
      </c>
      <c r="D75" s="70"/>
      <c r="E75" s="156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2"/>
      <c r="B76" s="1477">
        <f t="shared" si="3"/>
        <v>53</v>
      </c>
      <c r="C76" s="1313" t="s">
        <v>1594</v>
      </c>
      <c r="D76" s="70"/>
      <c r="E76" s="1563"/>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75"/>
      <c r="B79" s="1476">
        <f>3/8</f>
        <v>0.375</v>
      </c>
      <c r="C79" s="1543" t="s">
        <v>1825</v>
      </c>
      <c r="D79" s="1543"/>
      <c r="E79" s="1543"/>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36"/>
      <c r="C80" s="1567" t="s">
        <v>766</v>
      </c>
      <c r="D80" s="1567"/>
      <c r="E80" s="1567"/>
      <c r="F80" s="74"/>
      <c r="G80" s="1"/>
      <c r="H80" s="1"/>
      <c r="I80" s="1"/>
      <c r="J80" s="10"/>
      <c r="K80" s="10"/>
      <c r="L80" s="18"/>
      <c r="M80" s="18"/>
      <c r="N80" s="18"/>
      <c r="O80" s="18"/>
      <c r="P80" s="18"/>
      <c r="Q80" s="18"/>
      <c r="R80" s="18"/>
      <c r="S80" s="18"/>
      <c r="T80" s="18"/>
      <c r="U80" s="18"/>
      <c r="V80" s="18"/>
      <c r="W80" s="18"/>
      <c r="X80" s="18"/>
      <c r="Y80" s="18"/>
      <c r="Z80" s="18"/>
    </row>
    <row r="81" spans="2:26" x14ac:dyDescent="0.25">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36"/>
      <c r="C82" s="1549" t="s">
        <v>764</v>
      </c>
      <c r="D82" s="1549"/>
      <c r="E82" s="1549"/>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477">
        <f>B84+1</f>
        <v>56</v>
      </c>
      <c r="C85" s="1286" t="s">
        <v>1801</v>
      </c>
      <c r="D85" s="69">
        <f>2</f>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36"/>
      <c r="C86" s="1542" t="str">
        <f>IF(OR(D83="",D84="",D85=""),"Введите температуры, пользуясь подсказками. Если чердак или подвал отсутствуют, оставьте любое из предлагаемых значений","")</f>
        <v/>
      </c>
      <c r="D86" s="1542"/>
      <c r="E86" s="1542"/>
      <c r="F86" s="74"/>
      <c r="G86" s="1"/>
      <c r="H86" s="1"/>
      <c r="I86" s="1"/>
      <c r="J86" s="10"/>
      <c r="K86" s="10"/>
      <c r="L86" s="18"/>
      <c r="M86" s="18"/>
      <c r="N86" s="18"/>
      <c r="O86" s="18"/>
      <c r="P86" s="18"/>
      <c r="Q86" s="18"/>
      <c r="R86" s="18"/>
      <c r="S86" s="18"/>
      <c r="T86" s="18"/>
      <c r="U86" s="18"/>
      <c r="V86" s="18"/>
      <c r="W86" s="18"/>
      <c r="X86" s="18"/>
      <c r="Y86" s="18"/>
      <c r="Z86" s="18"/>
    </row>
    <row r="87" spans="2:26" x14ac:dyDescent="0.25">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25">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36"/>
      <c r="C96" s="1547" t="s">
        <v>784</v>
      </c>
      <c r="D96" s="1547"/>
      <c r="E96" s="1547"/>
      <c r="F96" s="74"/>
      <c r="G96" s="1"/>
      <c r="H96" s="1"/>
      <c r="I96" s="1"/>
      <c r="J96" s="10"/>
      <c r="K96" s="10"/>
      <c r="L96" s="18"/>
      <c r="M96" s="18"/>
      <c r="N96" s="18"/>
      <c r="O96" s="18"/>
      <c r="P96" s="18"/>
      <c r="Q96" s="18"/>
      <c r="R96" s="18"/>
      <c r="S96" s="18"/>
      <c r="T96" s="18"/>
      <c r="U96" s="18"/>
      <c r="V96" s="18"/>
      <c r="W96" s="18"/>
      <c r="X96" s="18"/>
      <c r="Y96" s="18"/>
      <c r="Z96" s="18"/>
    </row>
    <row r="97" spans="1:26" x14ac:dyDescent="0.25">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36"/>
      <c r="C106" s="1549" t="s">
        <v>785</v>
      </c>
      <c r="D106" s="1549"/>
      <c r="E106" s="1549"/>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477">
        <f t="shared" si="4"/>
        <v>64</v>
      </c>
      <c r="C110" s="1317" t="s">
        <v>1807</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01" t="s">
        <v>1916</v>
      </c>
      <c r="C113" s="1286" t="s">
        <v>1917</v>
      </c>
      <c r="D113" s="68">
        <v>8</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36"/>
      <c r="C114" s="1548" t="str">
        <f>IF(OR(C107="",D107="",D108="",D109="",D110="",D111="",D112=""),"Заполните таблицу","")</f>
        <v/>
      </c>
      <c r="D114" s="1548"/>
      <c r="E114" s="1548"/>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2"/>
      <c r="B127" s="1436"/>
      <c r="C127" s="1547" t="s">
        <v>972</v>
      </c>
      <c r="D127" s="1547"/>
      <c r="E127" s="1547"/>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2"/>
      <c r="B129" s="1436"/>
      <c r="C129" s="1535" t="s">
        <v>1003</v>
      </c>
      <c r="D129" s="1535"/>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2"/>
      <c r="B131" s="1477">
        <f>B125+1</f>
        <v>70</v>
      </c>
      <c r="C131" s="1328" t="s">
        <v>1814</v>
      </c>
      <c r="D131" s="1330">
        <v>2920</v>
      </c>
      <c r="E131" s="1550" t="s">
        <v>983</v>
      </c>
      <c r="F131" s="1331" t="s">
        <v>977</v>
      </c>
      <c r="G131" s="68">
        <v>8</v>
      </c>
      <c r="H131" s="68">
        <v>70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2"/>
      <c r="B132" s="1477">
        <f>B131+1</f>
        <v>71</v>
      </c>
      <c r="C132" s="1328" t="s">
        <v>1815</v>
      </c>
      <c r="D132" s="1330">
        <v>2920</v>
      </c>
      <c r="E132" s="1551"/>
      <c r="F132" s="1331" t="s">
        <v>977</v>
      </c>
      <c r="G132" s="68">
        <v>144</v>
      </c>
      <c r="H132" s="68">
        <v>20</v>
      </c>
      <c r="I132" s="1331"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2"/>
      <c r="B133" s="1477">
        <f t="shared" ref="B133:B135" si="5">B132+1</f>
        <v>72</v>
      </c>
      <c r="C133" s="1328" t="s">
        <v>1816</v>
      </c>
      <c r="D133" s="1330">
        <v>4380</v>
      </c>
      <c r="E133" s="1523" t="s">
        <v>986</v>
      </c>
      <c r="F133" s="1331" t="s">
        <v>977</v>
      </c>
      <c r="G133" s="68">
        <v>72</v>
      </c>
      <c r="H133" s="68">
        <v>20</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2"/>
      <c r="B134" s="1477">
        <f t="shared" si="5"/>
        <v>73</v>
      </c>
      <c r="C134" s="1328" t="s">
        <v>1813</v>
      </c>
      <c r="D134" s="1330">
        <v>300</v>
      </c>
      <c r="E134" s="1523" t="s">
        <v>987</v>
      </c>
      <c r="F134" s="1331" t="s">
        <v>977</v>
      </c>
      <c r="G134" s="68">
        <v>50</v>
      </c>
      <c r="H134" s="68">
        <v>20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2"/>
      <c r="B135" s="1477">
        <f t="shared" si="5"/>
        <v>74</v>
      </c>
      <c r="C135" s="1328" t="s">
        <v>1469</v>
      </c>
      <c r="D135" s="1330">
        <v>100</v>
      </c>
      <c r="E135" s="1523" t="s">
        <v>988</v>
      </c>
      <c r="F135" s="1331" t="s">
        <v>977</v>
      </c>
      <c r="G135" s="68">
        <v>50</v>
      </c>
      <c r="H135" s="68">
        <v>20</v>
      </c>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2"/>
      <c r="B137" s="1436"/>
      <c r="C137" s="1535" t="s">
        <v>1470</v>
      </c>
      <c r="D137" s="1535"/>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2"/>
      <c r="B138" s="1477">
        <f>B135+1</f>
        <v>75</v>
      </c>
      <c r="C138" s="1285" t="s">
        <v>989</v>
      </c>
      <c r="D138" s="68">
        <v>8</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2"/>
      <c r="B140" s="1477">
        <f t="shared" ref="B140:B141" si="6">B139+1</f>
        <v>77</v>
      </c>
      <c r="C140" s="1285" t="s">
        <v>1280</v>
      </c>
      <c r="D140" s="68">
        <v>80</v>
      </c>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2"/>
      <c r="B141" s="1477">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2"/>
      <c r="B143" s="1436"/>
      <c r="C143" s="1535" t="s">
        <v>1471</v>
      </c>
      <c r="D143" s="1535"/>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2"/>
      <c r="B144" s="1477">
        <f>B141+1</f>
        <v>79</v>
      </c>
      <c r="C144" s="1338" t="s">
        <v>1817</v>
      </c>
      <c r="D144" s="1340">
        <v>2</v>
      </c>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2"/>
      <c r="B145" s="1477">
        <f>B144+1</f>
        <v>80</v>
      </c>
      <c r="C145" s="1339" t="s">
        <v>1299</v>
      </c>
      <c r="D145" s="1341">
        <v>0</v>
      </c>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2"/>
      <c r="B146" s="1477">
        <f t="shared" ref="B146:B155" si="7">B145+1</f>
        <v>81</v>
      </c>
      <c r="C146" s="1336" t="s">
        <v>1320</v>
      </c>
      <c r="D146" s="1341">
        <v>1.1000000000000001</v>
      </c>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2"/>
      <c r="B147" s="1477">
        <f t="shared" si="7"/>
        <v>82</v>
      </c>
      <c r="C147" s="1337" t="s">
        <v>1898</v>
      </c>
      <c r="D147" s="1342">
        <f>IFERROR('Расчет базового уровня'!D146*24,"")</f>
        <v>5304</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2"/>
      <c r="B148" s="1477">
        <f t="shared" si="7"/>
        <v>83</v>
      </c>
      <c r="C148" s="1338" t="s">
        <v>1520</v>
      </c>
      <c r="D148" s="1340">
        <v>2</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2"/>
      <c r="B149" s="1477">
        <f>B148+1</f>
        <v>84</v>
      </c>
      <c r="C149" s="1339" t="s">
        <v>1299</v>
      </c>
      <c r="D149" s="1341">
        <v>0</v>
      </c>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2"/>
      <c r="B150" s="1477">
        <f t="shared" si="7"/>
        <v>85</v>
      </c>
      <c r="C150" s="1336" t="s">
        <v>1320</v>
      </c>
      <c r="D150" s="1341">
        <v>1.2</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2"/>
      <c r="B151" s="1477">
        <f t="shared" si="7"/>
        <v>86</v>
      </c>
      <c r="C151" s="1337" t="s">
        <v>1898</v>
      </c>
      <c r="D151" s="1342">
        <f>(365-D110)*24</f>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2"/>
      <c r="B152" s="1477">
        <f t="shared" si="7"/>
        <v>87</v>
      </c>
      <c r="C152" s="1338" t="s">
        <v>1335</v>
      </c>
      <c r="D152" s="1340">
        <v>2</v>
      </c>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2"/>
      <c r="B154" s="1477">
        <f t="shared" si="7"/>
        <v>89</v>
      </c>
      <c r="C154" s="1336" t="s">
        <v>1320</v>
      </c>
      <c r="D154" s="1341">
        <v>1.1000000000000001</v>
      </c>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2"/>
      <c r="B155" s="1477">
        <f t="shared" si="7"/>
        <v>90</v>
      </c>
      <c r="C155" s="1337" t="s">
        <v>1898</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2"/>
      <c r="B158" s="1436"/>
      <c r="C158" s="1552" t="s">
        <v>1472</v>
      </c>
      <c r="D158" s="1552"/>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2"/>
      <c r="B159" s="1477">
        <f>B155+1</f>
        <v>91</v>
      </c>
      <c r="C159" s="1285" t="s">
        <v>1385</v>
      </c>
      <c r="D159" s="68"/>
      <c r="E159" s="1553"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2"/>
      <c r="B160" s="1477">
        <f>B159+1</f>
        <v>92</v>
      </c>
      <c r="C160" s="1328" t="s">
        <v>1899</v>
      </c>
      <c r="D160" s="68"/>
      <c r="E160" s="1554"/>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2"/>
      <c r="B163" s="1476">
        <f>4/8</f>
        <v>0.5</v>
      </c>
      <c r="C163" s="1543" t="s">
        <v>1826</v>
      </c>
      <c r="D163" s="1543"/>
      <c r="E163" s="1543"/>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2"/>
      <c r="B165" s="1477">
        <f>B160+1</f>
        <v>93</v>
      </c>
      <c r="C165" s="1346" t="s">
        <v>1820</v>
      </c>
      <c r="D165" s="1527">
        <v>2.1929810000000001</v>
      </c>
      <c r="E165" s="160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2"/>
      <c r="B166" s="1477">
        <f>B165+1</f>
        <v>94</v>
      </c>
      <c r="C166" s="1347" t="s">
        <v>1819</v>
      </c>
      <c r="D166" s="1527">
        <v>0.978491</v>
      </c>
      <c r="E166" s="160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2"/>
      <c r="B167" s="1477">
        <f t="shared" ref="B167:B168" si="8">B166+1</f>
        <v>95</v>
      </c>
      <c r="C167" s="1347" t="s">
        <v>1822</v>
      </c>
      <c r="D167" s="1527">
        <v>0.99119999999999997</v>
      </c>
      <c r="E167" s="160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2"/>
      <c r="B168" s="1477">
        <f t="shared" si="8"/>
        <v>96</v>
      </c>
      <c r="C168" s="1348" t="s">
        <v>1821</v>
      </c>
      <c r="D168" s="68">
        <v>0.22328999999999999</v>
      </c>
      <c r="E168" s="160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2"/>
      <c r="B171" s="1477"/>
      <c r="C171" s="1616" t="s">
        <v>1818</v>
      </c>
      <c r="D171" s="1617"/>
      <c r="E171" s="160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2"/>
      <c r="B172" s="1477">
        <v>97</v>
      </c>
      <c r="C172" s="1344" t="s">
        <v>992</v>
      </c>
      <c r="D172" s="68">
        <v>150</v>
      </c>
      <c r="E172" s="160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2"/>
      <c r="B173" s="1477">
        <f t="shared" ref="B173" si="9">B172+1</f>
        <v>98</v>
      </c>
      <c r="C173" s="1344" t="s">
        <v>993</v>
      </c>
      <c r="D173" s="68">
        <v>80</v>
      </c>
      <c r="E173" s="160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2"/>
      <c r="B176" s="1477"/>
      <c r="C176" s="1616" t="s">
        <v>994</v>
      </c>
      <c r="D176" s="1617"/>
      <c r="E176" s="160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2"/>
      <c r="B177" s="1477">
        <v>99</v>
      </c>
      <c r="C177" s="1286" t="s">
        <v>1823</v>
      </c>
      <c r="D177" s="69">
        <v>95</v>
      </c>
      <c r="E177" s="160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2"/>
      <c r="B178" s="1477">
        <f t="shared" ref="B178" si="10">B177+1</f>
        <v>100</v>
      </c>
      <c r="C178" s="1286" t="s">
        <v>1824</v>
      </c>
      <c r="D178" s="69">
        <v>70</v>
      </c>
      <c r="E178" s="160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2"/>
      <c r="B183" s="1475"/>
      <c r="C183" s="1613" t="s">
        <v>1830</v>
      </c>
      <c r="D183" s="1613"/>
      <c r="E183" s="1613"/>
      <c r="F183" s="161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2"/>
      <c r="B184" s="1475"/>
      <c r="C184" s="1585" t="s">
        <v>995</v>
      </c>
      <c r="D184" s="1611" t="s">
        <v>996</v>
      </c>
      <c r="E184" s="1612"/>
      <c r="F184" s="1612"/>
      <c r="G184" s="74"/>
      <c r="H184" s="74"/>
      <c r="I184" s="74"/>
      <c r="J184" s="1610" t="s">
        <v>1528</v>
      </c>
      <c r="K184" s="1610"/>
      <c r="L184" s="18"/>
      <c r="M184" s="18"/>
      <c r="N184" s="18"/>
      <c r="O184" s="18"/>
      <c r="P184" s="18"/>
      <c r="Q184" s="18"/>
      <c r="R184" s="18"/>
      <c r="S184" s="18"/>
      <c r="T184" s="18"/>
      <c r="U184" s="18"/>
      <c r="V184" s="18"/>
      <c r="W184" s="18"/>
      <c r="X184" s="18"/>
      <c r="Y184" s="18"/>
      <c r="Z184" s="18"/>
    </row>
    <row r="185" spans="1:26" s="8" customFormat="1" ht="47.25" x14ac:dyDescent="0.25">
      <c r="A185" s="1292"/>
      <c r="B185" s="1475"/>
      <c r="C185" s="158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2"/>
      <c r="B186" s="1477">
        <f>B178+1</f>
        <v>101</v>
      </c>
      <c r="C186" s="1351" t="s">
        <v>488</v>
      </c>
      <c r="D186" s="1514">
        <f>E186+F186</f>
        <v>551.68700000000001</v>
      </c>
      <c r="E186" s="1514">
        <v>455.63200000000001</v>
      </c>
      <c r="F186" s="1514">
        <v>96.055000000000007</v>
      </c>
      <c r="G186" s="1544"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455.63200000000001</v>
      </c>
      <c r="K186" s="1444">
        <f>IF('Система ГВС'!F3=2,0,IF(F186=0,(F206*(1+IF($C$107=списки!$Y$54,'Расчет базового уровня'!$D$176,0))*($D$107-IF(F252&gt;150,$D$108,$D$109))+E206*$D$113)/1000,F186))</f>
        <v>96.055000000000007</v>
      </c>
      <c r="L186" s="18"/>
      <c r="M186" s="18"/>
      <c r="N186" s="18"/>
      <c r="O186" s="18"/>
      <c r="P186" s="18"/>
      <c r="Q186" s="18"/>
      <c r="R186" s="18"/>
      <c r="S186" s="18"/>
      <c r="T186" s="18"/>
      <c r="U186" s="18"/>
      <c r="V186" s="18"/>
      <c r="W186" s="18"/>
      <c r="X186" s="18"/>
      <c r="Y186" s="18"/>
      <c r="Z186" s="18"/>
    </row>
    <row r="187" spans="1:26" s="8" customFormat="1" ht="15" customHeight="1" x14ac:dyDescent="0.25">
      <c r="A187" s="1292"/>
      <c r="B187" s="1477">
        <f>B186+1</f>
        <v>102</v>
      </c>
      <c r="C187" s="1352" t="s">
        <v>489</v>
      </c>
      <c r="D187" s="1514">
        <f t="shared" ref="D187:D197" si="11">E187+F187</f>
        <v>626.22400000000005</v>
      </c>
      <c r="E187" s="1515">
        <v>522.18100000000004</v>
      </c>
      <c r="F187" s="1515">
        <v>104.04300000000001</v>
      </c>
      <c r="G187" s="1544"/>
      <c r="H187" s="74"/>
      <c r="I187" s="74"/>
      <c r="J187" s="1443">
        <f t="shared" ref="J187:J197" si="12">IF(E187="",D187-K187,E187)</f>
        <v>522.18100000000004</v>
      </c>
      <c r="K187" s="1444">
        <f>IF('Система ГВС'!F4=2,0,IF(F187=0,(F207*(1+IF($C$107=списки!$Y$54,'Расчет базового уровня'!$D$176,0))*($D$107-IF(F253&gt;150,$D$108,$D$109))+E207*$D$113)/1000,F187))</f>
        <v>104.04300000000001</v>
      </c>
      <c r="L187" s="18"/>
      <c r="M187" s="18"/>
      <c r="N187" s="18"/>
      <c r="O187" s="18"/>
      <c r="P187" s="18"/>
      <c r="Q187" s="18"/>
      <c r="R187" s="18"/>
      <c r="S187" s="18"/>
      <c r="T187" s="18"/>
      <c r="U187" s="18"/>
      <c r="V187" s="18"/>
      <c r="W187" s="18"/>
      <c r="X187" s="18"/>
      <c r="Y187" s="18"/>
      <c r="Z187" s="18"/>
    </row>
    <row r="188" spans="1:26" s="8" customFormat="1" ht="15" customHeight="1" x14ac:dyDescent="0.25">
      <c r="A188" s="1292"/>
      <c r="B188" s="1477">
        <f t="shared" ref="B188:B197" si="13">B187+1</f>
        <v>103</v>
      </c>
      <c r="C188" s="1352" t="s">
        <v>490</v>
      </c>
      <c r="D188" s="1514">
        <f t="shared" si="11"/>
        <v>373.94200000000001</v>
      </c>
      <c r="E188" s="1515">
        <v>286.58300000000003</v>
      </c>
      <c r="F188" s="1515">
        <v>87.358999999999995</v>
      </c>
      <c r="G188" s="1544"/>
      <c r="H188" s="74"/>
      <c r="I188" s="74"/>
      <c r="J188" s="1443">
        <f t="shared" si="12"/>
        <v>286.58300000000003</v>
      </c>
      <c r="K188" s="1444">
        <f>IF('Система ГВС'!F5=2,0,IF(F188=0,(F208*(1+IF($C$107=списки!$Y$54,'Расчет базового уровня'!$D$176,0))*($D$107-IF(F254&gt;150,$D$108,$D$109))+E208*$D$113)/1000,F188))</f>
        <v>87.358999999999995</v>
      </c>
      <c r="L188" s="18"/>
      <c r="M188" s="18"/>
      <c r="N188" s="18"/>
      <c r="O188" s="18"/>
      <c r="P188" s="18"/>
      <c r="Q188" s="18"/>
      <c r="R188" s="18"/>
      <c r="S188" s="18"/>
      <c r="T188" s="18"/>
      <c r="U188" s="18"/>
      <c r="V188" s="18"/>
      <c r="W188" s="18"/>
      <c r="X188" s="18"/>
      <c r="Y188" s="18"/>
      <c r="Z188" s="18"/>
    </row>
    <row r="189" spans="1:26" s="8" customFormat="1" ht="15" customHeight="1" x14ac:dyDescent="0.25">
      <c r="A189" s="1292"/>
      <c r="B189" s="1477">
        <f t="shared" si="13"/>
        <v>104</v>
      </c>
      <c r="C189" s="1352" t="s">
        <v>491</v>
      </c>
      <c r="D189" s="1514">
        <f t="shared" si="11"/>
        <v>354.30500000000001</v>
      </c>
      <c r="E189" s="1515">
        <v>299.55500000000001</v>
      </c>
      <c r="F189" s="1515">
        <v>54.75</v>
      </c>
      <c r="G189" s="1544"/>
      <c r="H189" s="74"/>
      <c r="I189" s="74"/>
      <c r="J189" s="1443">
        <f t="shared" si="12"/>
        <v>299.55500000000001</v>
      </c>
      <c r="K189" s="1444">
        <f>IF('Система ГВС'!F6=2,0,IF(F189=0,(F209*(1+IF($C$107=списки!$Y$54,'Расчет базового уровня'!$D$176,0))*($D$107-IF(F255&gt;150,$D$108,$D$109))+E209*$D$113)/1000,F189))</f>
        <v>54.75</v>
      </c>
      <c r="L189" s="18"/>
      <c r="M189" s="18"/>
      <c r="N189" s="18"/>
      <c r="O189" s="18"/>
      <c r="P189" s="18"/>
      <c r="Q189" s="18"/>
      <c r="R189" s="18"/>
      <c r="S189" s="18"/>
      <c r="T189" s="18"/>
      <c r="U189" s="18"/>
      <c r="V189" s="18"/>
      <c r="W189" s="18"/>
      <c r="X189" s="18"/>
      <c r="Y189" s="18"/>
      <c r="Z189" s="18"/>
    </row>
    <row r="190" spans="1:26" s="8" customFormat="1" ht="15" customHeight="1" x14ac:dyDescent="0.25">
      <c r="A190" s="1292"/>
      <c r="B190" s="1477">
        <f t="shared" si="13"/>
        <v>105</v>
      </c>
      <c r="C190" s="1352" t="s">
        <v>805</v>
      </c>
      <c r="D190" s="1514">
        <f t="shared" si="11"/>
        <v>186.16400000000002</v>
      </c>
      <c r="E190" s="1515">
        <v>142.68600000000001</v>
      </c>
      <c r="F190" s="1515">
        <v>43.478000000000002</v>
      </c>
      <c r="G190" s="1544"/>
      <c r="H190" s="74"/>
      <c r="I190" s="74"/>
      <c r="J190" s="1443">
        <f t="shared" si="12"/>
        <v>142.68600000000001</v>
      </c>
      <c r="K190" s="1444">
        <f>IF('Система ГВС'!F7=2,0,IF(F190=0,(F210*(1+IF($C$107=списки!$Y$54,'Расчет базового уровня'!$D$176,0))*($D$107-IF(F256&gt;150,$D$108,$D$109))+E210*$D$113)/1000,F190))</f>
        <v>43.478000000000002</v>
      </c>
      <c r="L190" s="18"/>
      <c r="M190" s="18"/>
      <c r="N190" s="18"/>
      <c r="O190" s="18"/>
      <c r="P190" s="18"/>
      <c r="Q190" s="18"/>
      <c r="R190" s="18"/>
      <c r="S190" s="18"/>
      <c r="T190" s="18"/>
      <c r="U190" s="18"/>
      <c r="V190" s="18"/>
      <c r="W190" s="18"/>
      <c r="X190" s="18"/>
      <c r="Y190" s="18"/>
      <c r="Z190" s="18"/>
    </row>
    <row r="191" spans="1:26" s="8" customFormat="1" ht="15" customHeight="1" x14ac:dyDescent="0.25">
      <c r="A191" s="1292"/>
      <c r="B191" s="1477">
        <f t="shared" si="13"/>
        <v>106</v>
      </c>
      <c r="C191" s="1352" t="s">
        <v>806</v>
      </c>
      <c r="D191" s="1514">
        <f t="shared" si="11"/>
        <v>40.097000000000001</v>
      </c>
      <c r="E191" s="1515">
        <v>0</v>
      </c>
      <c r="F191" s="1515">
        <v>40.097000000000001</v>
      </c>
      <c r="G191" s="1544"/>
      <c r="H191" s="74"/>
      <c r="I191" s="74"/>
      <c r="J191" s="1443">
        <f t="shared" si="12"/>
        <v>0</v>
      </c>
      <c r="K191" s="1444">
        <f>IF('Система ГВС'!F8=2,0,IF(F191=0,(F211*(1+IF($C$107=списки!$Y$54,'Расчет базового уровня'!$D$176,0))*($D$107-IF(F257&gt;150,$D$108,$D$109))+E211*$D$113)/1000,F191))</f>
        <v>40.097000000000001</v>
      </c>
      <c r="L191" s="18"/>
      <c r="M191" s="18"/>
      <c r="N191" s="18"/>
      <c r="O191" s="18"/>
      <c r="P191" s="18"/>
      <c r="Q191" s="18"/>
      <c r="R191" s="18"/>
      <c r="S191" s="18"/>
      <c r="T191" s="18"/>
      <c r="U191" s="18"/>
      <c r="V191" s="18"/>
      <c r="W191" s="18"/>
      <c r="X191" s="18"/>
      <c r="Y191" s="18"/>
      <c r="Z191" s="18"/>
    </row>
    <row r="192" spans="1:26" s="8" customFormat="1" ht="15" customHeight="1" x14ac:dyDescent="0.25">
      <c r="A192" s="1292"/>
      <c r="B192" s="1477">
        <f t="shared" si="13"/>
        <v>107</v>
      </c>
      <c r="C192" s="1352" t="s">
        <v>807</v>
      </c>
      <c r="D192" s="1514">
        <f t="shared" si="11"/>
        <v>51</v>
      </c>
      <c r="E192" s="1515">
        <v>0</v>
      </c>
      <c r="F192" s="1515">
        <v>51</v>
      </c>
      <c r="G192" s="1544"/>
      <c r="H192" s="74"/>
      <c r="I192" s="74"/>
      <c r="J192" s="1443">
        <f t="shared" si="12"/>
        <v>0</v>
      </c>
      <c r="K192" s="1444">
        <f>IF('Система ГВС'!F9=2,0,IF(F192=0,(F212*(1+IF($C$107=списки!$Y$54,'Расчет базового уровня'!$D$176,0))*($D$107-IF(F258&gt;150,$D$108,$D$109))+E212*$D$113)/1000,F192))</f>
        <v>51</v>
      </c>
      <c r="L192" s="18"/>
      <c r="M192" s="18"/>
      <c r="N192" s="18"/>
      <c r="O192" s="18"/>
      <c r="P192" s="18"/>
      <c r="Q192" s="18"/>
      <c r="R192" s="18"/>
      <c r="S192" s="18"/>
      <c r="T192" s="18"/>
      <c r="U192" s="18"/>
      <c r="V192" s="18"/>
      <c r="W192" s="18"/>
      <c r="X192" s="18"/>
      <c r="Y192" s="18"/>
      <c r="Z192" s="18"/>
    </row>
    <row r="193" spans="1:34" s="8" customFormat="1" ht="15" customHeight="1" x14ac:dyDescent="0.25">
      <c r="A193" s="1292"/>
      <c r="B193" s="1477">
        <f t="shared" si="13"/>
        <v>108</v>
      </c>
      <c r="C193" s="1352" t="s">
        <v>808</v>
      </c>
      <c r="D193" s="1514">
        <f t="shared" si="11"/>
        <v>37</v>
      </c>
      <c r="E193" s="1515">
        <v>0</v>
      </c>
      <c r="F193" s="1515">
        <v>37</v>
      </c>
      <c r="G193" s="1544"/>
      <c r="H193" s="74"/>
      <c r="I193" s="74"/>
      <c r="J193" s="1443">
        <f t="shared" si="12"/>
        <v>0</v>
      </c>
      <c r="K193" s="1444">
        <f>IF('Система ГВС'!F10=2,0,IF(F193=0,(F213*(1+IF($C$107=списки!$Y$54,'Расчет базового уровня'!$D$176,0))*($D$107-IF(F259&gt;150,$D$108,$D$109))+E213*$D$113)/1000,F193))</f>
        <v>37</v>
      </c>
      <c r="L193" s="18"/>
      <c r="M193" s="18"/>
      <c r="N193" s="18"/>
      <c r="O193" s="18"/>
      <c r="P193" s="18"/>
      <c r="Q193" s="18"/>
      <c r="R193" s="18"/>
      <c r="S193" s="18"/>
      <c r="T193" s="18"/>
      <c r="U193" s="18"/>
      <c r="V193" s="18"/>
      <c r="W193" s="18"/>
      <c r="X193" s="18"/>
      <c r="Y193" s="18"/>
      <c r="Z193" s="18"/>
    </row>
    <row r="194" spans="1:34" s="8" customFormat="1" ht="15" customHeight="1" x14ac:dyDescent="0.25">
      <c r="A194" s="1292"/>
      <c r="B194" s="1477">
        <f t="shared" si="13"/>
        <v>109</v>
      </c>
      <c r="C194" s="1352" t="s">
        <v>809</v>
      </c>
      <c r="D194" s="1514">
        <f t="shared" si="11"/>
        <v>54</v>
      </c>
      <c r="E194" s="1515">
        <v>0</v>
      </c>
      <c r="F194" s="1515">
        <v>54</v>
      </c>
      <c r="G194" s="1544"/>
      <c r="H194" s="74"/>
      <c r="I194" s="74"/>
      <c r="J194" s="1443">
        <f t="shared" si="12"/>
        <v>0</v>
      </c>
      <c r="K194" s="1444">
        <f>IF('Система ГВС'!F11=2,0,IF(F194=0,(F214*(1+IF($C$107=списки!$Y$54,'Расчет базового уровня'!$D$176,0))*($D$107-IF(F260&gt;150,$D$108,$D$109))+E214*$D$113)/1000,F194))</f>
        <v>54</v>
      </c>
      <c r="L194" s="18"/>
      <c r="M194" s="18"/>
      <c r="N194" s="18"/>
      <c r="O194" s="18"/>
      <c r="P194" s="18"/>
      <c r="Q194" s="18"/>
      <c r="R194" s="18"/>
      <c r="S194" s="18"/>
      <c r="T194" s="18"/>
      <c r="U194" s="18"/>
      <c r="V194" s="18"/>
      <c r="W194" s="18"/>
      <c r="X194" s="18"/>
      <c r="Y194" s="18"/>
      <c r="Z194" s="18"/>
    </row>
    <row r="195" spans="1:34" s="8" customFormat="1" ht="15" customHeight="1" x14ac:dyDescent="0.25">
      <c r="A195" s="1292"/>
      <c r="B195" s="1477">
        <f t="shared" si="13"/>
        <v>110</v>
      </c>
      <c r="C195" s="1352" t="s">
        <v>482</v>
      </c>
      <c r="D195" s="1514">
        <f t="shared" si="11"/>
        <v>303.24099999999999</v>
      </c>
      <c r="E195" s="1515">
        <v>220.74299999999999</v>
      </c>
      <c r="F195" s="1515">
        <v>82.498000000000005</v>
      </c>
      <c r="G195" s="1544"/>
      <c r="H195" s="74"/>
      <c r="I195" s="74"/>
      <c r="J195" s="1443">
        <f t="shared" si="12"/>
        <v>220.74299999999999</v>
      </c>
      <c r="K195" s="1444">
        <f>IF('Система ГВС'!F12=2,0,IF(F195=0,(F215*(1+IF($C$107=списки!$Y$54,'Расчет базового уровня'!$D$176,0))*($D$107-IF(F261&gt;150,$D$108,$D$109))+E215*$D$113)/1000,F195))</f>
        <v>82.498000000000005</v>
      </c>
      <c r="L195" s="18"/>
      <c r="M195" s="18"/>
      <c r="N195" s="18"/>
      <c r="O195" s="18"/>
      <c r="P195" s="18"/>
      <c r="Q195" s="18"/>
      <c r="R195" s="18"/>
      <c r="S195" s="18"/>
      <c r="T195" s="18"/>
      <c r="U195" s="18"/>
      <c r="V195" s="18"/>
      <c r="W195" s="18"/>
      <c r="X195" s="18"/>
      <c r="Y195" s="18"/>
      <c r="Z195" s="18"/>
    </row>
    <row r="196" spans="1:34" s="8" customFormat="1" ht="15" customHeight="1" x14ac:dyDescent="0.25">
      <c r="A196" s="1292"/>
      <c r="B196" s="1477">
        <f t="shared" si="13"/>
        <v>111</v>
      </c>
      <c r="C196" s="1352" t="s">
        <v>486</v>
      </c>
      <c r="D196" s="1514">
        <f t="shared" si="11"/>
        <v>536.98900000000003</v>
      </c>
      <c r="E196" s="1515">
        <v>426.59500000000003</v>
      </c>
      <c r="F196" s="1515">
        <v>110.39400000000001</v>
      </c>
      <c r="G196" s="1544"/>
      <c r="H196" s="74"/>
      <c r="I196" s="74"/>
      <c r="J196" s="1443">
        <f t="shared" si="12"/>
        <v>426.59500000000003</v>
      </c>
      <c r="K196" s="1444">
        <f>IF('Система ГВС'!F13=2,0,IF(F196=0,(F216*(1+IF($C$107=списки!$Y$54,'Расчет базового уровня'!$D$176,0))*($D$107-IF(F262&gt;150,$D$108,$D$109))+E216*$D$113)/1000,F196))</f>
        <v>110.39400000000001</v>
      </c>
      <c r="L196" s="18"/>
      <c r="M196" s="18"/>
      <c r="N196" s="18"/>
      <c r="O196" s="18"/>
      <c r="P196" s="18"/>
      <c r="Q196" s="18"/>
      <c r="R196" s="18"/>
      <c r="S196" s="18"/>
      <c r="T196" s="18"/>
      <c r="U196" s="18"/>
      <c r="V196" s="18"/>
      <c r="W196" s="18"/>
      <c r="X196" s="18"/>
      <c r="Y196" s="18"/>
      <c r="Z196" s="18"/>
    </row>
    <row r="197" spans="1:34" s="8" customFormat="1" ht="15" customHeight="1" x14ac:dyDescent="0.25">
      <c r="A197" s="1292"/>
      <c r="B197" s="1477">
        <f t="shared" si="13"/>
        <v>112</v>
      </c>
      <c r="C197" s="1353" t="s">
        <v>487</v>
      </c>
      <c r="D197" s="1514">
        <f t="shared" si="11"/>
        <v>533.58699999999999</v>
      </c>
      <c r="E197" s="1516">
        <v>436.11200000000002</v>
      </c>
      <c r="F197" s="1516">
        <v>97.474999999999994</v>
      </c>
      <c r="G197" s="1544"/>
      <c r="H197" s="74"/>
      <c r="I197" s="74"/>
      <c r="J197" s="1443">
        <f t="shared" si="12"/>
        <v>436.11200000000002</v>
      </c>
      <c r="K197" s="1444">
        <f>IF('Система ГВС'!F14=2,0,IF(F197=0,(F217*(1+IF($C$107=списки!$Y$54,'Расчет базового уровня'!$D$176,0))*($D$107-IF(F263&gt;150,$D$108,$D$109))+E217*$D$113)/1000,F197))</f>
        <v>97.474999999999994</v>
      </c>
      <c r="L197" s="18"/>
      <c r="M197" s="18"/>
      <c r="N197" s="18"/>
      <c r="O197" s="18"/>
      <c r="P197" s="18"/>
      <c r="Q197" s="18"/>
      <c r="R197" s="18"/>
      <c r="S197" s="18"/>
      <c r="T197" s="18"/>
      <c r="U197" s="18"/>
      <c r="V197" s="18"/>
      <c r="W197" s="18"/>
      <c r="X197" s="18"/>
      <c r="Y197" s="18"/>
      <c r="Z197" s="18"/>
    </row>
    <row r="198" spans="1:34" s="8" customFormat="1" ht="15" customHeight="1" x14ac:dyDescent="0.25">
      <c r="A198" s="1292"/>
      <c r="B198" s="1475"/>
      <c r="C198" s="1350" t="s">
        <v>1000</v>
      </c>
      <c r="D198" s="1431">
        <f>SUM(D186:D197)</f>
        <v>3648.2360000000003</v>
      </c>
      <c r="E198" s="1431">
        <f>SUM(E186:E197)</f>
        <v>2790.0870000000004</v>
      </c>
      <c r="F198" s="1431">
        <f>SUM(F186:F197)</f>
        <v>858.149</v>
      </c>
      <c r="G198" s="74"/>
      <c r="H198" s="74"/>
      <c r="I198" s="74"/>
      <c r="J198" s="1445">
        <f>IF(E198=0,D198-K198,E198)</f>
        <v>2790.0870000000004</v>
      </c>
      <c r="K198" s="1444">
        <f>IF('Система ГВС'!F15=2,0,IF(F198=0,(F218*(1+IF($C$107=списки!$Y$54,'Расчет базового уровня'!$D$176,0))*($D$107-'Расчет после реализации'!E173)+E218*$D$113)/1000,F198))</f>
        <v>858.149</v>
      </c>
      <c r="L198" s="18"/>
      <c r="M198" s="18"/>
      <c r="N198" s="18"/>
      <c r="O198" s="18"/>
      <c r="P198" s="18"/>
      <c r="Q198" s="18"/>
      <c r="R198" s="18"/>
      <c r="S198" s="18"/>
      <c r="T198" s="18"/>
      <c r="U198" s="18"/>
      <c r="V198" s="18"/>
      <c r="W198" s="18"/>
      <c r="X198" s="18"/>
      <c r="Y198" s="18"/>
      <c r="Z198" s="18"/>
    </row>
    <row r="199" spans="1:34" s="8" customFormat="1" x14ac:dyDescent="0.25">
      <c r="A199" s="1292"/>
      <c r="B199" s="1475"/>
      <c r="C199" s="10"/>
      <c r="D199" s="10"/>
      <c r="E199" s="10"/>
      <c r="F199" s="1284">
        <f>F218*55*1.3</f>
        <v>526883.5</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2"/>
      <c r="B200" s="1475"/>
      <c r="C200" s="10"/>
      <c r="D200" s="10"/>
      <c r="E200" s="10"/>
      <c r="F200" s="20" t="str">
        <f>IFERROR(IF(AVEDEV(F186:F197)/AVERAGE(F186:F197)&gt;=0.3,"Проверьте данные, слишком нестабильно",""),"")</f>
        <v>Проверьте данные, слишком нестабильно</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5"/>
      <c r="C202" s="1609" t="str">
        <f>IF('Система ГВС'!F3=2,"Таблицу ниже можно не заполнять, т.к. в поле 59 выбрана децентрализованная система ГВС.","")</f>
        <v/>
      </c>
      <c r="D202" s="1609"/>
      <c r="E202" s="1609"/>
      <c r="F202" s="160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2"/>
      <c r="B203" s="1475"/>
      <c r="C203" s="1613" t="s">
        <v>1835</v>
      </c>
      <c r="D203" s="1613"/>
      <c r="E203" s="1613"/>
      <c r="F203" s="161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2"/>
      <c r="B204" s="1475"/>
      <c r="C204" s="1585" t="s">
        <v>995</v>
      </c>
      <c r="D204" s="1586" t="s">
        <v>1001</v>
      </c>
      <c r="E204" s="1587"/>
      <c r="F204" s="1588"/>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2"/>
      <c r="B205" s="1475"/>
      <c r="C205" s="1585"/>
      <c r="D205" s="1345" t="s">
        <v>1831</v>
      </c>
      <c r="E205" s="1355" t="s">
        <v>1832</v>
      </c>
      <c r="F205" s="1349" t="s">
        <v>1833</v>
      </c>
      <c r="G205" s="1614"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615"/>
      <c r="I205" s="1615"/>
      <c r="J205" s="1615"/>
      <c r="K205" s="161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2"/>
      <c r="B206" s="1477">
        <f>B197+1</f>
        <v>113</v>
      </c>
      <c r="C206" s="1351" t="s">
        <v>488</v>
      </c>
      <c r="D206" s="1514">
        <v>932.6</v>
      </c>
      <c r="E206" s="1514">
        <v>1200</v>
      </c>
      <c r="F206" s="1515">
        <v>985</v>
      </c>
      <c r="G206" s="1596"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596"/>
      <c r="I206" s="1597"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J206" s="1597"/>
      <c r="K206" s="1597"/>
      <c r="L206" s="1441">
        <f>$F$218/365/$D$22*1000</f>
        <v>58.689072953169791</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2"/>
      <c r="B207" s="1477">
        <f>B206+1</f>
        <v>114</v>
      </c>
      <c r="C207" s="1352" t="s">
        <v>489</v>
      </c>
      <c r="D207" s="1515">
        <v>1051.8</v>
      </c>
      <c r="E207" s="1514">
        <v>1200</v>
      </c>
      <c r="F207" s="1515">
        <v>562</v>
      </c>
      <c r="G207" s="1596"/>
      <c r="H207" s="1596"/>
      <c r="I207" s="1597"/>
      <c r="J207" s="1597"/>
      <c r="K207" s="1597"/>
      <c r="L207" s="1441">
        <f>SUMPRODUCT('Система ГВС'!$D$5:$D$9,'Система ГВС'!$E$5:$E$9)*(1-0.4*$D$21/$D$20)</f>
        <v>54</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2"/>
      <c r="B208" s="1477">
        <f t="shared" ref="B208:B217" si="14">B207+1</f>
        <v>115</v>
      </c>
      <c r="C208" s="1352" t="s">
        <v>490</v>
      </c>
      <c r="D208" s="1515">
        <v>940.20100000000002</v>
      </c>
      <c r="E208" s="1514">
        <v>1200</v>
      </c>
      <c r="F208" s="1515">
        <v>720</v>
      </c>
      <c r="G208" s="1596"/>
      <c r="H208" s="1596"/>
      <c r="I208" s="1597"/>
      <c r="J208" s="1597"/>
      <c r="K208" s="1597"/>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2"/>
      <c r="B209" s="1477">
        <f t="shared" si="14"/>
        <v>116</v>
      </c>
      <c r="C209" s="1352" t="s">
        <v>491</v>
      </c>
      <c r="D209" s="1515">
        <v>1041.55</v>
      </c>
      <c r="E209" s="1514">
        <v>1200</v>
      </c>
      <c r="F209" s="1515">
        <v>795</v>
      </c>
      <c r="G209" s="1596"/>
      <c r="H209" s="1596"/>
      <c r="I209" s="1597"/>
      <c r="J209" s="1597"/>
      <c r="K209" s="1597"/>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2"/>
      <c r="B210" s="1477">
        <f t="shared" si="14"/>
        <v>117</v>
      </c>
      <c r="C210" s="1352" t="s">
        <v>805</v>
      </c>
      <c r="D210" s="1515">
        <v>908.48800000000006</v>
      </c>
      <c r="E210" s="1514">
        <v>1200</v>
      </c>
      <c r="F210" s="1515">
        <v>652</v>
      </c>
      <c r="G210" s="1596"/>
      <c r="H210" s="1596"/>
      <c r="I210" s="1597"/>
      <c r="J210" s="1597"/>
      <c r="K210" s="1597"/>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2"/>
      <c r="B211" s="1477">
        <f t="shared" si="14"/>
        <v>118</v>
      </c>
      <c r="C211" s="1352" t="s">
        <v>806</v>
      </c>
      <c r="D211" s="1515">
        <v>543.12199999999996</v>
      </c>
      <c r="E211" s="1514">
        <v>1200</v>
      </c>
      <c r="F211" s="1515">
        <v>659</v>
      </c>
      <c r="G211" s="1596"/>
      <c r="H211" s="1596"/>
      <c r="I211" s="1597"/>
      <c r="J211" s="1597"/>
      <c r="K211" s="1597"/>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2"/>
      <c r="B212" s="1477">
        <f t="shared" si="14"/>
        <v>119</v>
      </c>
      <c r="C212" s="1352" t="s">
        <v>807</v>
      </c>
      <c r="D212" s="1515">
        <v>532</v>
      </c>
      <c r="E212" s="1514">
        <v>1200</v>
      </c>
      <c r="F212" s="1515">
        <v>589</v>
      </c>
      <c r="G212" s="1596"/>
      <c r="H212" s="1596"/>
      <c r="I212" s="1597"/>
      <c r="J212" s="1597"/>
      <c r="K212" s="1597"/>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2"/>
      <c r="B213" s="1477">
        <f t="shared" si="14"/>
        <v>120</v>
      </c>
      <c r="C213" s="1352" t="s">
        <v>808</v>
      </c>
      <c r="D213" s="1515">
        <v>547</v>
      </c>
      <c r="E213" s="1514">
        <v>1200</v>
      </c>
      <c r="F213" s="1515">
        <v>352</v>
      </c>
      <c r="G213" s="1596"/>
      <c r="H213" s="1596"/>
      <c r="I213" s="1597"/>
      <c r="J213" s="1597"/>
      <c r="K213" s="1597"/>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2"/>
      <c r="B214" s="1477">
        <f t="shared" si="14"/>
        <v>121</v>
      </c>
      <c r="C214" s="1352" t="s">
        <v>809</v>
      </c>
      <c r="D214" s="1515">
        <v>877</v>
      </c>
      <c r="E214" s="1514">
        <v>1200</v>
      </c>
      <c r="F214" s="1515">
        <v>490</v>
      </c>
      <c r="G214" s="1596"/>
      <c r="H214" s="1596"/>
      <c r="I214" s="1597"/>
      <c r="J214" s="1597"/>
      <c r="K214" s="1597"/>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2"/>
      <c r="B215" s="1477">
        <f t="shared" si="14"/>
        <v>122</v>
      </c>
      <c r="C215" s="1352" t="s">
        <v>482</v>
      </c>
      <c r="D215" s="1515">
        <v>901</v>
      </c>
      <c r="E215" s="1514">
        <v>1200</v>
      </c>
      <c r="F215" s="1515">
        <v>663</v>
      </c>
      <c r="G215" s="1596"/>
      <c r="H215" s="1596"/>
      <c r="I215" s="1597"/>
      <c r="J215" s="1597"/>
      <c r="K215" s="1597"/>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2"/>
      <c r="B216" s="1477">
        <f t="shared" si="14"/>
        <v>123</v>
      </c>
      <c r="C216" s="1352" t="s">
        <v>486</v>
      </c>
      <c r="D216" s="1515">
        <v>857</v>
      </c>
      <c r="E216" s="1514">
        <v>1200</v>
      </c>
      <c r="F216" s="1515">
        <v>450</v>
      </c>
      <c r="G216" s="1596"/>
      <c r="H216" s="1596"/>
      <c r="I216" s="1597"/>
      <c r="J216" s="1597"/>
      <c r="K216" s="1597"/>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2"/>
      <c r="B217" s="1477">
        <f t="shared" si="14"/>
        <v>124</v>
      </c>
      <c r="C217" s="1353" t="s">
        <v>487</v>
      </c>
      <c r="D217" s="1516">
        <v>995</v>
      </c>
      <c r="E217" s="1514">
        <v>1200</v>
      </c>
      <c r="F217" s="1515">
        <v>452</v>
      </c>
      <c r="G217" s="1596"/>
      <c r="H217" s="1596"/>
      <c r="I217" s="1597"/>
      <c r="J217" s="1597"/>
      <c r="K217" s="1597"/>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2"/>
      <c r="B218" s="1475"/>
      <c r="C218" s="1350" t="s">
        <v>1000</v>
      </c>
      <c r="D218" s="1431">
        <f>SUM(D206:D217)</f>
        <v>10126.761</v>
      </c>
      <c r="E218" s="1431">
        <f>SUM(E206:E217)</f>
        <v>14400</v>
      </c>
      <c r="F218" s="1432">
        <f>SUM(F206:F217)</f>
        <v>7369</v>
      </c>
      <c r="G218" s="1596"/>
      <c r="H218" s="1596"/>
      <c r="I218" s="1597"/>
      <c r="J218" s="1597"/>
      <c r="K218" s="1597"/>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2"/>
      <c r="B220" s="1475"/>
      <c r="C220" s="1613" t="s">
        <v>1834</v>
      </c>
      <c r="D220" s="1613"/>
      <c r="E220" s="1613"/>
      <c r="F220" s="1613"/>
      <c r="G220" s="1613"/>
      <c r="H220" s="1613"/>
      <c r="I220" s="1613"/>
      <c r="J220" s="161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2"/>
      <c r="B221" s="1475"/>
      <c r="C221" s="1589" t="s">
        <v>995</v>
      </c>
      <c r="D221" s="1590" t="s">
        <v>1604</v>
      </c>
      <c r="E221" s="1592" t="s">
        <v>1341</v>
      </c>
      <c r="F221" s="1593" t="s">
        <v>1344</v>
      </c>
      <c r="G221" s="1594"/>
      <c r="H221" s="1594"/>
      <c r="I221" s="1594"/>
      <c r="J221" s="1595"/>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2"/>
      <c r="B222" s="1475"/>
      <c r="C222" s="1589"/>
      <c r="D222" s="1591"/>
      <c r="E222" s="1590"/>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25">
      <c r="A223" s="1292"/>
      <c r="B223" s="1477">
        <f>B217+1</f>
        <v>125</v>
      </c>
      <c r="C223" s="1352" t="s">
        <v>488</v>
      </c>
      <c r="D223" s="1514">
        <v>65.5</v>
      </c>
      <c r="E223" s="1514">
        <v>64.14</v>
      </c>
      <c r="F223" s="1514">
        <v>1.4</v>
      </c>
      <c r="G223" s="1505"/>
      <c r="H223" s="1505"/>
      <c r="I223" s="1505"/>
      <c r="J223" s="1502"/>
      <c r="K223" s="1605" t="s">
        <v>1605</v>
      </c>
      <c r="L223" s="1605"/>
      <c r="M223" s="74"/>
      <c r="N223" s="74"/>
      <c r="O223" s="74"/>
      <c r="P223" s="1467">
        <f>SUM(Q223:S223,W223)</f>
        <v>18.592266666666667</v>
      </c>
      <c r="Q223" s="1468">
        <f>($G$131*$H$131*$D$131+$H$132*$G$132*$D$132+$H$133*$G$133*$D$133+$H$134*$G$134*$D$134+$H$135*$G$135*$D$135)/12/1000000</f>
        <v>1.3959999999999999</v>
      </c>
      <c r="R223" s="1468">
        <f>$D$140*$D$141/1000/12</f>
        <v>14.666666666666666</v>
      </c>
      <c r="S223" s="1469">
        <f>SUM(T223:V223)</f>
        <v>2.5296000000000003</v>
      </c>
      <c r="T223" s="1469">
        <f>$D$146*'Расчет базового уровня'!$G$146*24/1000</f>
        <v>0.81840000000000013</v>
      </c>
      <c r="U223" s="1469">
        <f>$D$150*'Расчет базового уровня'!$G$170*24/1000</f>
        <v>0.89279999999999993</v>
      </c>
      <c r="V223" s="1469">
        <f>$D$154*'Расчет базового уровня'!$G$165*24/1000</f>
        <v>0.81840000000000013</v>
      </c>
      <c r="W223" s="1470">
        <f>$D$159*$D$160/12/1000</f>
        <v>0</v>
      </c>
      <c r="X223" s="1471"/>
      <c r="Y223" s="1467">
        <f>SUM(Z223:AB223,AF223)</f>
        <v>1.4</v>
      </c>
      <c r="Z223" s="1468">
        <f>IF(G223=0,IFERROR($F223*Q223/$P223,0),G223)</f>
        <v>0.10511897419715723</v>
      </c>
      <c r="AA223" s="1468">
        <f>IF(H223=0,IFERROR($F223*R223/$P223,0),H223)</f>
        <v>1.1044018301516041</v>
      </c>
      <c r="AB223" s="1468">
        <f>IF(I223=0,IFERROR($F223*S223/$P223,0),I223)</f>
        <v>0.1904791956512385</v>
      </c>
      <c r="AC223" s="1469">
        <f>IFERROR(IF($I223=0,$F223*T223/$P223,$AB223*T223/$S223),0)</f>
        <v>6.162562212245952E-2</v>
      </c>
      <c r="AD223" s="1469">
        <f>IFERROR(IF($I223=0,$F223*U223/$P223,$AB223*U223/$S223),0)</f>
        <v>6.7227951406319472E-2</v>
      </c>
      <c r="AE223" s="1469">
        <f>IFERROR(IF($I223=0,$F223*V223/$P223,$AB223*V223/$S223),0)</f>
        <v>6.162562212245952E-2</v>
      </c>
      <c r="AF223" s="1468">
        <f>IFERROR(IF(J223=0,$F223*W223/$P223,P223),0)</f>
        <v>0</v>
      </c>
      <c r="AG223" s="18"/>
      <c r="AH223" s="18"/>
    </row>
    <row r="224" spans="1:34" s="8" customFormat="1" x14ac:dyDescent="0.25">
      <c r="A224" s="1292"/>
      <c r="B224" s="1477">
        <f>B223+1</f>
        <v>126</v>
      </c>
      <c r="C224" s="1352" t="s">
        <v>489</v>
      </c>
      <c r="D224" s="1515">
        <v>77.599999999999994</v>
      </c>
      <c r="E224" s="1515">
        <v>75.3</v>
      </c>
      <c r="F224" s="1515">
        <v>2.25</v>
      </c>
      <c r="G224" s="1506"/>
      <c r="H224" s="1506"/>
      <c r="I224" s="1506"/>
      <c r="J224" s="1503"/>
      <c r="K224" s="1605"/>
      <c r="L224" s="1605"/>
      <c r="M224" s="74"/>
      <c r="N224" s="74"/>
      <c r="O224" s="74"/>
      <c r="P224" s="1467">
        <f t="shared" ref="P224:P234" si="15">SUM(Q224:S224,W224)</f>
        <v>18.347466666666666</v>
      </c>
      <c r="Q224" s="1468">
        <f t="shared" ref="Q224:Q234" si="16">($G$131*$H$131*$D$131+$H$132*$G$132*$D$132+$H$133*$G$133*$D$133+$H$134*$G$134*$D$134+$H$135*$G$135*$D$135)/12/1000000</f>
        <v>1.3959999999999999</v>
      </c>
      <c r="R224" s="1468">
        <f>R223</f>
        <v>14.666666666666666</v>
      </c>
      <c r="S224" s="1469">
        <f t="shared" ref="S224:S234" si="17">SUM(T224:V224)</f>
        <v>2.2848000000000006</v>
      </c>
      <c r="T224" s="1469">
        <f>$D$146*'Расчет базового уровня'!$H$146*24/1000</f>
        <v>0.73920000000000008</v>
      </c>
      <c r="U224" s="1469">
        <f>$D$150*'Расчет базового уровня'!$H$170*24/1000</f>
        <v>0.80640000000000012</v>
      </c>
      <c r="V224" s="1469">
        <f>$D$154*'Расчет базового уровня'!$H$165*24/1000</f>
        <v>0.73920000000000008</v>
      </c>
      <c r="W224" s="1470">
        <f t="shared" ref="W224:W234" si="18">$D$159*$D$160/12/1000</f>
        <v>0</v>
      </c>
      <c r="X224" s="1471"/>
      <c r="Y224" s="1467">
        <f t="shared" ref="Y224:Y235" si="19">SUM(Z224:AB224,AF224)</f>
        <v>2.2500000000000004</v>
      </c>
      <c r="Z224" s="1468">
        <f t="shared" ref="Z224:Z235" si="20">IF(G224=0,IFERROR($F224*Q224/$P224,0),G224)</f>
        <v>0.17119529671671294</v>
      </c>
      <c r="AA224" s="1468">
        <f t="shared" ref="AA224:AA235" si="21">IF(H224=0,IFERROR($F224*R224/$P224,0),H224)</f>
        <v>1.7986134325538132</v>
      </c>
      <c r="AB224" s="1468">
        <f t="shared" ref="AB224:AB235" si="22">IF(I224=0,IFERROR($F224*S224/$P224,0),I224)</f>
        <v>0.28019127072947408</v>
      </c>
      <c r="AC224" s="1469">
        <f t="shared" ref="AC224:AC235" si="23">IFERROR(IF($I224=0,$F224*T224/$P224,$AB224*T224/$S224),0)</f>
        <v>9.0650117000712196E-2</v>
      </c>
      <c r="AD224" s="1469">
        <f t="shared" ref="AD224:AD235" si="24">IFERROR(IF($I224=0,$F224*U224/$P224,$AB224*U224/$S224),0)</f>
        <v>9.8891036728049664E-2</v>
      </c>
      <c r="AE224" s="1469">
        <f t="shared" ref="AE224:AE235" si="25">IFERROR(IF($I224=0,$F224*V224/$P224,$AB224*V224/$S224),0)</f>
        <v>9.0650117000712196E-2</v>
      </c>
      <c r="AF224" s="1468">
        <f t="shared" ref="AF224:AF235" si="26">IFERROR(IF(J224=0,$F224*W224/$P224,P224),0)</f>
        <v>0</v>
      </c>
      <c r="AG224" s="18"/>
      <c r="AH224" s="18"/>
    </row>
    <row r="225" spans="1:34" s="8" customFormat="1" x14ac:dyDescent="0.25">
      <c r="A225" s="1292"/>
      <c r="B225" s="1477">
        <f t="shared" ref="B225:B234" si="27">B224+1</f>
        <v>127</v>
      </c>
      <c r="C225" s="1352" t="s">
        <v>490</v>
      </c>
      <c r="D225" s="1515">
        <v>45.6</v>
      </c>
      <c r="E225" s="1515">
        <v>44.3</v>
      </c>
      <c r="F225" s="1515">
        <v>1.31</v>
      </c>
      <c r="G225" s="1506"/>
      <c r="H225" s="1506"/>
      <c r="I225" s="1506"/>
      <c r="J225" s="1503"/>
      <c r="K225" s="1605"/>
      <c r="L225" s="1605"/>
      <c r="M225" s="74"/>
      <c r="N225" s="74"/>
      <c r="O225" s="74"/>
      <c r="P225" s="1467">
        <f t="shared" si="15"/>
        <v>18.592266666666667</v>
      </c>
      <c r="Q225" s="1468">
        <f t="shared" si="16"/>
        <v>1.3959999999999999</v>
      </c>
      <c r="R225" s="1468">
        <f t="shared" ref="R225:R234" si="28">R224</f>
        <v>14.666666666666666</v>
      </c>
      <c r="S225" s="1469">
        <f t="shared" si="17"/>
        <v>2.5296000000000003</v>
      </c>
      <c r="T225" s="1469">
        <f>$D$146*'Расчет базового уровня'!$I$146*24/1000</f>
        <v>0.81840000000000013</v>
      </c>
      <c r="U225" s="1469">
        <f>$D$150*'Расчет базового уровня'!$I$170*24/1000</f>
        <v>0.89279999999999993</v>
      </c>
      <c r="V225" s="1469">
        <f>$D$154*'Расчет базового уровня'!$I$165*24/1000</f>
        <v>0.81840000000000013</v>
      </c>
      <c r="W225" s="1470">
        <f t="shared" si="18"/>
        <v>0</v>
      </c>
      <c r="X225" s="1471"/>
      <c r="Y225" s="1467">
        <f t="shared" si="19"/>
        <v>1.3100000000000003</v>
      </c>
      <c r="Z225" s="1468">
        <f t="shared" si="20"/>
        <v>9.8361325855911411E-2</v>
      </c>
      <c r="AA225" s="1468">
        <f t="shared" si="21"/>
        <v>1.0334045696418583</v>
      </c>
      <c r="AB225" s="1468">
        <f t="shared" si="22"/>
        <v>0.17823410450223034</v>
      </c>
      <c r="AC225" s="1469">
        <f t="shared" si="23"/>
        <v>5.7663974986015699E-2</v>
      </c>
      <c r="AD225" s="1469">
        <f t="shared" si="24"/>
        <v>6.2906154530198932E-2</v>
      </c>
      <c r="AE225" s="1469">
        <f t="shared" si="25"/>
        <v>5.7663974986015699E-2</v>
      </c>
      <c r="AF225" s="1468">
        <f t="shared" si="26"/>
        <v>0</v>
      </c>
      <c r="AG225" s="18"/>
      <c r="AH225" s="18"/>
    </row>
    <row r="226" spans="1:34" s="8" customFormat="1" x14ac:dyDescent="0.25">
      <c r="A226" s="1292"/>
      <c r="B226" s="1477">
        <f t="shared" si="27"/>
        <v>128</v>
      </c>
      <c r="C226" s="1352" t="s">
        <v>491</v>
      </c>
      <c r="D226" s="1515">
        <v>58.6</v>
      </c>
      <c r="E226" s="1515">
        <v>57.3</v>
      </c>
      <c r="F226" s="1515">
        <v>1.3</v>
      </c>
      <c r="G226" s="1506"/>
      <c r="H226" s="1506"/>
      <c r="I226" s="1506"/>
      <c r="J226" s="1503"/>
      <c r="K226" s="1605"/>
      <c r="L226" s="1605"/>
      <c r="M226" s="74"/>
      <c r="N226" s="74"/>
      <c r="O226" s="74"/>
      <c r="P226" s="1467">
        <f t="shared" si="15"/>
        <v>18.510666666666665</v>
      </c>
      <c r="Q226" s="1468">
        <f t="shared" si="16"/>
        <v>1.3959999999999999</v>
      </c>
      <c r="R226" s="1468">
        <f t="shared" si="28"/>
        <v>14.666666666666666</v>
      </c>
      <c r="S226" s="1469">
        <f t="shared" si="17"/>
        <v>2.4480000000000004</v>
      </c>
      <c r="T226" s="1469">
        <f>$D$146*'Расчет базового уровня'!$J$146*24/1000</f>
        <v>0.79200000000000004</v>
      </c>
      <c r="U226" s="1469">
        <f>$D$150*'Расчет базового уровня'!$J$170*24/1000</f>
        <v>0.86399999999999999</v>
      </c>
      <c r="V226" s="1469">
        <f>$D$154*'Расчет базового уровня'!$J$165*24/1000</f>
        <v>0.79200000000000004</v>
      </c>
      <c r="W226" s="1470">
        <f t="shared" si="18"/>
        <v>0</v>
      </c>
      <c r="X226" s="1471"/>
      <c r="Y226" s="1467">
        <f t="shared" si="19"/>
        <v>1.3</v>
      </c>
      <c r="Z226" s="1468">
        <f t="shared" si="20"/>
        <v>9.8040769286177346E-2</v>
      </c>
      <c r="AA226" s="1468">
        <f t="shared" si="21"/>
        <v>1.0300367355758842</v>
      </c>
      <c r="AB226" s="1468">
        <f t="shared" si="22"/>
        <v>0.17192249513793853</v>
      </c>
      <c r="AC226" s="1469">
        <f t="shared" si="23"/>
        <v>5.5621983721097751E-2</v>
      </c>
      <c r="AD226" s="1469">
        <f t="shared" si="24"/>
        <v>6.0678527695743001E-2</v>
      </c>
      <c r="AE226" s="1469">
        <f t="shared" si="25"/>
        <v>5.5621983721097751E-2</v>
      </c>
      <c r="AF226" s="1468">
        <f t="shared" si="26"/>
        <v>0</v>
      </c>
      <c r="AG226" s="18"/>
      <c r="AH226" s="18"/>
    </row>
    <row r="227" spans="1:34" s="8" customFormat="1" x14ac:dyDescent="0.25">
      <c r="A227" s="1292"/>
      <c r="B227" s="1477">
        <f t="shared" si="27"/>
        <v>129</v>
      </c>
      <c r="C227" s="1352" t="s">
        <v>805</v>
      </c>
      <c r="D227" s="1515">
        <v>46.2</v>
      </c>
      <c r="E227" s="1515">
        <v>45.5</v>
      </c>
      <c r="F227" s="1515">
        <v>0.6</v>
      </c>
      <c r="G227" s="1506"/>
      <c r="H227" s="1506"/>
      <c r="I227" s="1506"/>
      <c r="J227" s="1503"/>
      <c r="K227" s="1605"/>
      <c r="L227" s="1605"/>
      <c r="M227" s="74"/>
      <c r="N227" s="74"/>
      <c r="O227" s="74"/>
      <c r="P227" s="1467">
        <f t="shared" si="15"/>
        <v>17.892666666666663</v>
      </c>
      <c r="Q227" s="1468">
        <f t="shared" si="16"/>
        <v>1.3959999999999999</v>
      </c>
      <c r="R227" s="1468">
        <f t="shared" si="28"/>
        <v>14.666666666666666</v>
      </c>
      <c r="S227" s="1469">
        <f t="shared" si="17"/>
        <v>1.83</v>
      </c>
      <c r="T227" s="1469">
        <f>$D$146*'Расчет базового уровня'!$K$146*24/1000</f>
        <v>0.11880000000000002</v>
      </c>
      <c r="U227" s="1469">
        <f>$D$150*'Расчет базового уровня'!$K$170*24/1000</f>
        <v>0.89279999999999993</v>
      </c>
      <c r="V227" s="1469">
        <f>$D$154*'Расчет базового уровня'!$K$165*24/1000</f>
        <v>0.81840000000000013</v>
      </c>
      <c r="W227" s="1470">
        <f t="shared" si="18"/>
        <v>0</v>
      </c>
      <c r="X227" s="1471"/>
      <c r="Y227" s="1467">
        <f t="shared" si="19"/>
        <v>0.60000000000000009</v>
      </c>
      <c r="Z227" s="1468">
        <f t="shared" si="20"/>
        <v>4.6812474384291522E-2</v>
      </c>
      <c r="AA227" s="1468">
        <f t="shared" si="21"/>
        <v>0.49182160289131494</v>
      </c>
      <c r="AB227" s="1468">
        <f t="shared" si="22"/>
        <v>6.1365922724393625E-2</v>
      </c>
      <c r="AC227" s="1469">
        <f t="shared" si="23"/>
        <v>3.9837549834196521E-3</v>
      </c>
      <c r="AD227" s="1469">
        <f t="shared" si="24"/>
        <v>2.9938522299638587E-2</v>
      </c>
      <c r="AE227" s="1469">
        <f t="shared" si="25"/>
        <v>2.7443645441335377E-2</v>
      </c>
      <c r="AF227" s="1468">
        <f t="shared" si="26"/>
        <v>0</v>
      </c>
      <c r="AG227" s="18"/>
      <c r="AH227" s="18"/>
    </row>
    <row r="228" spans="1:34" s="8" customFormat="1" x14ac:dyDescent="0.25">
      <c r="A228" s="1292"/>
      <c r="B228" s="1477">
        <f t="shared" si="27"/>
        <v>130</v>
      </c>
      <c r="C228" s="1352" t="s">
        <v>806</v>
      </c>
      <c r="D228" s="1515">
        <v>70.5</v>
      </c>
      <c r="E228" s="1515">
        <v>69.7</v>
      </c>
      <c r="F228" s="1515">
        <v>0.7</v>
      </c>
      <c r="G228" s="1506"/>
      <c r="H228" s="1506"/>
      <c r="I228" s="1506"/>
      <c r="J228" s="1503"/>
      <c r="K228" s="1605"/>
      <c r="L228" s="1605"/>
      <c r="M228" s="74"/>
      <c r="N228" s="74"/>
      <c r="O228" s="74"/>
      <c r="P228" s="1467">
        <f t="shared" si="15"/>
        <v>17.718666666666664</v>
      </c>
      <c r="Q228" s="1468">
        <f t="shared" si="16"/>
        <v>1.3959999999999999</v>
      </c>
      <c r="R228" s="1468">
        <f t="shared" si="28"/>
        <v>14.666666666666666</v>
      </c>
      <c r="S228" s="1469">
        <f t="shared" si="17"/>
        <v>1.6560000000000001</v>
      </c>
      <c r="T228" s="1469">
        <f>$D$146*'Расчет базового уровня'!$L$146*24/1000</f>
        <v>0</v>
      </c>
      <c r="U228" s="1469">
        <f>$D$150*'Расчет базового уровня'!$L$170*24/1000</f>
        <v>0.86399999999999999</v>
      </c>
      <c r="V228" s="1469">
        <f>$D$154*'Расчет базового уровня'!$L$165*24/1000</f>
        <v>0.79200000000000004</v>
      </c>
      <c r="W228" s="1470">
        <f t="shared" si="18"/>
        <v>0</v>
      </c>
      <c r="X228" s="1471"/>
      <c r="Y228" s="1467">
        <f t="shared" si="19"/>
        <v>0.70000000000000007</v>
      </c>
      <c r="Z228" s="1468">
        <f t="shared" si="20"/>
        <v>5.5150876664910829E-2</v>
      </c>
      <c r="AA228" s="1468">
        <f t="shared" si="21"/>
        <v>0.57942659342313196</v>
      </c>
      <c r="AB228" s="1468">
        <f t="shared" si="22"/>
        <v>6.5422529911957267E-2</v>
      </c>
      <c r="AC228" s="1469">
        <f t="shared" si="23"/>
        <v>0</v>
      </c>
      <c r="AD228" s="1469">
        <f t="shared" si="24"/>
        <v>3.4133493867108143E-2</v>
      </c>
      <c r="AE228" s="1469">
        <f t="shared" si="25"/>
        <v>3.1289036044849131E-2</v>
      </c>
      <c r="AF228" s="1468">
        <f t="shared" si="26"/>
        <v>0</v>
      </c>
      <c r="AG228" s="18"/>
      <c r="AH228" s="18"/>
    </row>
    <row r="229" spans="1:34" s="8" customFormat="1" x14ac:dyDescent="0.25">
      <c r="A229" s="1292"/>
      <c r="B229" s="1477">
        <f t="shared" si="27"/>
        <v>131</v>
      </c>
      <c r="C229" s="1352" t="s">
        <v>807</v>
      </c>
      <c r="D229" s="1515">
        <v>58.2</v>
      </c>
      <c r="E229" s="1515">
        <v>56.9</v>
      </c>
      <c r="F229" s="1515">
        <v>1.3</v>
      </c>
      <c r="G229" s="1506"/>
      <c r="H229" s="1506"/>
      <c r="I229" s="1506"/>
      <c r="J229" s="1503"/>
      <c r="K229" s="1605"/>
      <c r="L229" s="1605"/>
      <c r="M229" s="74"/>
      <c r="N229" s="74"/>
      <c r="O229" s="74"/>
      <c r="P229" s="1467">
        <f t="shared" si="15"/>
        <v>17.370666666666665</v>
      </c>
      <c r="Q229" s="1468">
        <f t="shared" si="16"/>
        <v>1.3959999999999999</v>
      </c>
      <c r="R229" s="1468">
        <f t="shared" si="28"/>
        <v>14.666666666666666</v>
      </c>
      <c r="S229" s="1469">
        <f t="shared" si="17"/>
        <v>1.3080000000000001</v>
      </c>
      <c r="T229" s="1469">
        <f>$D$146*'Расчет базового уровня'!$M$146*24/1000</f>
        <v>0</v>
      </c>
      <c r="U229" s="1469">
        <f>$D$150*'Расчет базового уровня'!$M$170*24/1000</f>
        <v>0.48959999999999998</v>
      </c>
      <c r="V229" s="1469">
        <f>$D$154*'Расчет базового уровня'!$M$165*24/1000</f>
        <v>0.81840000000000013</v>
      </c>
      <c r="W229" s="1470">
        <f t="shared" si="18"/>
        <v>0</v>
      </c>
      <c r="X229" s="1471"/>
      <c r="Y229" s="1467">
        <f t="shared" si="19"/>
        <v>1.3</v>
      </c>
      <c r="Z229" s="1468">
        <f t="shared" si="20"/>
        <v>0.10447497697267424</v>
      </c>
      <c r="AA229" s="1468">
        <f t="shared" si="21"/>
        <v>1.0976358612219834</v>
      </c>
      <c r="AB229" s="1468">
        <f t="shared" si="22"/>
        <v>9.7889161805342351E-2</v>
      </c>
      <c r="AC229" s="1469">
        <f t="shared" si="23"/>
        <v>0</v>
      </c>
      <c r="AD229" s="1469">
        <f t="shared" si="24"/>
        <v>3.6641080749155674E-2</v>
      </c>
      <c r="AE229" s="1469">
        <f t="shared" si="25"/>
        <v>6.124808105618669E-2</v>
      </c>
      <c r="AF229" s="1468">
        <f t="shared" si="26"/>
        <v>0</v>
      </c>
      <c r="AG229" s="18"/>
      <c r="AH229" s="18"/>
    </row>
    <row r="230" spans="1:34" s="8" customFormat="1" x14ac:dyDescent="0.25">
      <c r="A230" s="1292"/>
      <c r="B230" s="1477">
        <f t="shared" si="27"/>
        <v>132</v>
      </c>
      <c r="C230" s="1352" t="s">
        <v>808</v>
      </c>
      <c r="D230" s="1515">
        <v>71.2</v>
      </c>
      <c r="E230" s="1515">
        <v>69.7</v>
      </c>
      <c r="F230" s="1515">
        <v>1.5</v>
      </c>
      <c r="G230" s="1506"/>
      <c r="H230" s="1506"/>
      <c r="I230" s="1506"/>
      <c r="J230" s="1503"/>
      <c r="K230" s="1605"/>
      <c r="L230" s="1605"/>
      <c r="M230" s="74"/>
      <c r="N230" s="74"/>
      <c r="O230" s="74"/>
      <c r="P230" s="1467">
        <f t="shared" si="15"/>
        <v>17.773866666666667</v>
      </c>
      <c r="Q230" s="1468">
        <f t="shared" si="16"/>
        <v>1.3959999999999999</v>
      </c>
      <c r="R230" s="1468">
        <f t="shared" si="28"/>
        <v>14.666666666666666</v>
      </c>
      <c r="S230" s="1469">
        <f t="shared" si="17"/>
        <v>1.7112000000000001</v>
      </c>
      <c r="T230" s="1469">
        <f>$D$146*'Расчет базового уровня'!$N$146*24/1000</f>
        <v>0</v>
      </c>
      <c r="U230" s="1469">
        <f>$D$150*'Расчет базового уровня'!$N$170*24/1000</f>
        <v>0.89279999999999993</v>
      </c>
      <c r="V230" s="1469">
        <f>$D$154*'Расчет базового уровня'!$N$165*24/1000</f>
        <v>0.81840000000000013</v>
      </c>
      <c r="W230" s="1470">
        <f t="shared" si="18"/>
        <v>0</v>
      </c>
      <c r="X230" s="1471"/>
      <c r="Y230" s="1467">
        <f t="shared" si="19"/>
        <v>1.5000000000000002</v>
      </c>
      <c r="Z230" s="1468">
        <f t="shared" si="20"/>
        <v>0.11781341895216947</v>
      </c>
      <c r="AA230" s="1468">
        <f t="shared" si="21"/>
        <v>1.2377723099081799</v>
      </c>
      <c r="AB230" s="1468">
        <f t="shared" si="22"/>
        <v>0.14441427113965075</v>
      </c>
      <c r="AC230" s="1469">
        <f t="shared" si="23"/>
        <v>0</v>
      </c>
      <c r="AD230" s="1469">
        <f t="shared" si="24"/>
        <v>7.5346576246774294E-2</v>
      </c>
      <c r="AE230" s="1469">
        <f t="shared" si="25"/>
        <v>6.9067694892876452E-2</v>
      </c>
      <c r="AF230" s="1468">
        <f t="shared" si="26"/>
        <v>0</v>
      </c>
      <c r="AG230" s="18"/>
      <c r="AH230" s="18"/>
    </row>
    <row r="231" spans="1:34" s="8" customFormat="1" x14ac:dyDescent="0.25">
      <c r="A231" s="1292"/>
      <c r="B231" s="1477">
        <f t="shared" si="27"/>
        <v>133</v>
      </c>
      <c r="C231" s="1352" t="s">
        <v>809</v>
      </c>
      <c r="D231" s="1515">
        <v>70.7</v>
      </c>
      <c r="E231" s="1515">
        <v>69.5</v>
      </c>
      <c r="F231" s="1515">
        <v>1.2</v>
      </c>
      <c r="G231" s="1506"/>
      <c r="H231" s="1506"/>
      <c r="I231" s="1506"/>
      <c r="J231" s="1503"/>
      <c r="K231" s="1605"/>
      <c r="L231" s="1605"/>
      <c r="M231" s="74"/>
      <c r="N231" s="74"/>
      <c r="O231" s="74"/>
      <c r="P231" s="1467">
        <f t="shared" si="15"/>
        <v>17.837466666666664</v>
      </c>
      <c r="Q231" s="1468">
        <f t="shared" si="16"/>
        <v>1.3959999999999999</v>
      </c>
      <c r="R231" s="1468">
        <f t="shared" si="28"/>
        <v>14.666666666666666</v>
      </c>
      <c r="S231" s="1469">
        <f t="shared" si="17"/>
        <v>1.7747999999999999</v>
      </c>
      <c r="T231" s="1469">
        <f>$D$146*'Расчет базового уровня'!$O$146*24/1000</f>
        <v>0.11880000000000002</v>
      </c>
      <c r="U231" s="1469">
        <f>$D$150*'Расчет базового уровня'!$O$170*24/1000</f>
        <v>0.86399999999999999</v>
      </c>
      <c r="V231" s="1469">
        <f>$D$154*'Расчет базового уровня'!$O$165*24/1000</f>
        <v>0.79200000000000004</v>
      </c>
      <c r="W231" s="1470">
        <f t="shared" si="18"/>
        <v>0</v>
      </c>
      <c r="X231" s="1471"/>
      <c r="Y231" s="1467">
        <f t="shared" si="19"/>
        <v>1.2000000000000002</v>
      </c>
      <c r="Z231" s="1468">
        <f t="shared" si="20"/>
        <v>9.3914681457008098E-2</v>
      </c>
      <c r="AA231" s="1468">
        <f t="shared" si="21"/>
        <v>0.98668719773360947</v>
      </c>
      <c r="AB231" s="1468">
        <f t="shared" si="22"/>
        <v>0.1193981208093825</v>
      </c>
      <c r="AC231" s="1469">
        <f t="shared" si="23"/>
        <v>7.9921663016422392E-3</v>
      </c>
      <c r="AD231" s="1469">
        <f t="shared" si="24"/>
        <v>5.8124845830125359E-2</v>
      </c>
      <c r="AE231" s="1469">
        <f t="shared" si="25"/>
        <v>5.3281108677614916E-2</v>
      </c>
      <c r="AF231" s="1468">
        <f t="shared" si="26"/>
        <v>0</v>
      </c>
      <c r="AG231" s="18"/>
      <c r="AH231" s="18"/>
    </row>
    <row r="232" spans="1:34" s="8" customFormat="1" x14ac:dyDescent="0.25">
      <c r="A232" s="1292"/>
      <c r="B232" s="1477">
        <f t="shared" si="27"/>
        <v>134</v>
      </c>
      <c r="C232" s="1352" t="s">
        <v>482</v>
      </c>
      <c r="D232" s="1515">
        <v>53.9</v>
      </c>
      <c r="E232" s="1515">
        <v>52.9</v>
      </c>
      <c r="F232" s="1515">
        <v>1</v>
      </c>
      <c r="G232" s="1506"/>
      <c r="H232" s="1506"/>
      <c r="I232" s="1506"/>
      <c r="J232" s="1503"/>
      <c r="K232" s="1605"/>
      <c r="L232" s="1605"/>
      <c r="M232" s="74"/>
      <c r="N232" s="74"/>
      <c r="O232" s="74"/>
      <c r="P232" s="1467">
        <f t="shared" si="15"/>
        <v>18.592266666666667</v>
      </c>
      <c r="Q232" s="1468">
        <f t="shared" si="16"/>
        <v>1.3959999999999999</v>
      </c>
      <c r="R232" s="1468">
        <f t="shared" si="28"/>
        <v>14.666666666666666</v>
      </c>
      <c r="S232" s="1469">
        <f t="shared" si="17"/>
        <v>2.5296000000000003</v>
      </c>
      <c r="T232" s="1469">
        <f>$D$146*'Расчет базового уровня'!$P$146*24/1000</f>
        <v>0.81840000000000013</v>
      </c>
      <c r="U232" s="1469">
        <f>$D$150*'Расчет базового уровня'!$P$170*24/1000</f>
        <v>0.89279999999999993</v>
      </c>
      <c r="V232" s="1469">
        <f>$D$154*'Расчет базового уровня'!$P$165*24/1000</f>
        <v>0.81840000000000013</v>
      </c>
      <c r="W232" s="1470">
        <f t="shared" si="18"/>
        <v>0</v>
      </c>
      <c r="X232" s="1471"/>
      <c r="Y232" s="1467">
        <f t="shared" si="19"/>
        <v>1</v>
      </c>
      <c r="Z232" s="1468">
        <f t="shared" si="20"/>
        <v>7.5084981569398024E-2</v>
      </c>
      <c r="AA232" s="1468">
        <f t="shared" si="21"/>
        <v>0.7888584501082887</v>
      </c>
      <c r="AB232" s="1468">
        <f t="shared" si="22"/>
        <v>0.13605656832231322</v>
      </c>
      <c r="AC232" s="1469">
        <f t="shared" si="23"/>
        <v>4.4018301516042517E-2</v>
      </c>
      <c r="AD232" s="1469">
        <f t="shared" si="24"/>
        <v>4.8019965290228193E-2</v>
      </c>
      <c r="AE232" s="1469">
        <f t="shared" si="25"/>
        <v>4.4018301516042517E-2</v>
      </c>
      <c r="AF232" s="1468">
        <f t="shared" si="26"/>
        <v>0</v>
      </c>
      <c r="AG232" s="18"/>
      <c r="AH232" s="18"/>
    </row>
    <row r="233" spans="1:34" s="8" customFormat="1" x14ac:dyDescent="0.25">
      <c r="A233" s="1292"/>
      <c r="B233" s="1477">
        <f t="shared" si="27"/>
        <v>135</v>
      </c>
      <c r="C233" s="1352" t="s">
        <v>486</v>
      </c>
      <c r="D233" s="1515">
        <v>66.7</v>
      </c>
      <c r="E233" s="1515">
        <v>65.3</v>
      </c>
      <c r="F233" s="1515">
        <v>1.3</v>
      </c>
      <c r="G233" s="1506"/>
      <c r="H233" s="1506"/>
      <c r="I233" s="1506"/>
      <c r="J233" s="1503"/>
      <c r="K233" s="1605"/>
      <c r="L233" s="1605"/>
      <c r="M233" s="74"/>
      <c r="N233" s="74"/>
      <c r="O233" s="74"/>
      <c r="P233" s="1467">
        <f t="shared" si="15"/>
        <v>18.510666666666665</v>
      </c>
      <c r="Q233" s="1468">
        <f t="shared" si="16"/>
        <v>1.3959999999999999</v>
      </c>
      <c r="R233" s="1468">
        <f t="shared" si="28"/>
        <v>14.666666666666666</v>
      </c>
      <c r="S233" s="1469">
        <f t="shared" si="17"/>
        <v>2.4480000000000004</v>
      </c>
      <c r="T233" s="1469">
        <f>$D$146*'Расчет базового уровня'!$Q$146*24/1000</f>
        <v>0.79200000000000004</v>
      </c>
      <c r="U233" s="1469">
        <f>$D$150*'Расчет базового уровня'!$Q$170*24/1000</f>
        <v>0.86399999999999999</v>
      </c>
      <c r="V233" s="1469">
        <f>$D$154*'Расчет базового уровня'!$Q$165*24/1000</f>
        <v>0.79200000000000004</v>
      </c>
      <c r="W233" s="1470">
        <f t="shared" si="18"/>
        <v>0</v>
      </c>
      <c r="X233" s="1471"/>
      <c r="Y233" s="1467">
        <f t="shared" si="19"/>
        <v>1.3</v>
      </c>
      <c r="Z233" s="1468">
        <f t="shared" si="20"/>
        <v>9.8040769286177346E-2</v>
      </c>
      <c r="AA233" s="1468">
        <f t="shared" si="21"/>
        <v>1.0300367355758842</v>
      </c>
      <c r="AB233" s="1468">
        <f t="shared" si="22"/>
        <v>0.17192249513793853</v>
      </c>
      <c r="AC233" s="1469">
        <f t="shared" si="23"/>
        <v>5.5621983721097751E-2</v>
      </c>
      <c r="AD233" s="1469">
        <f t="shared" si="24"/>
        <v>6.0678527695743001E-2</v>
      </c>
      <c r="AE233" s="1469">
        <f t="shared" si="25"/>
        <v>5.5621983721097751E-2</v>
      </c>
      <c r="AF233" s="1468">
        <f t="shared" si="26"/>
        <v>0</v>
      </c>
      <c r="AG233" s="18"/>
      <c r="AH233" s="18"/>
    </row>
    <row r="234" spans="1:34" s="8" customFormat="1" x14ac:dyDescent="0.25">
      <c r="A234" s="1292"/>
      <c r="B234" s="1477">
        <f t="shared" si="27"/>
        <v>136</v>
      </c>
      <c r="C234" s="1354" t="s">
        <v>487</v>
      </c>
      <c r="D234" s="1516">
        <v>64.900000000000006</v>
      </c>
      <c r="E234" s="1516">
        <v>63.7</v>
      </c>
      <c r="F234" s="1516">
        <v>1.2</v>
      </c>
      <c r="G234" s="1507"/>
      <c r="H234" s="1507"/>
      <c r="I234" s="1507"/>
      <c r="J234" s="1504"/>
      <c r="K234" s="1605"/>
      <c r="L234" s="1605"/>
      <c r="M234" s="74"/>
      <c r="N234" s="74"/>
      <c r="O234" s="74"/>
      <c r="P234" s="1467">
        <f t="shared" si="15"/>
        <v>18.592266666666667</v>
      </c>
      <c r="Q234" s="1468">
        <f t="shared" si="16"/>
        <v>1.3959999999999999</v>
      </c>
      <c r="R234" s="1468">
        <f t="shared" si="28"/>
        <v>14.666666666666666</v>
      </c>
      <c r="S234" s="1469">
        <f t="shared" si="17"/>
        <v>2.5296000000000003</v>
      </c>
      <c r="T234" s="1469">
        <f>$D$146*'Расчет базового уровня'!$R$146*24/1000</f>
        <v>0.81840000000000013</v>
      </c>
      <c r="U234" s="1469">
        <f>$D$150*'Расчет базового уровня'!$R$170*24/1000</f>
        <v>0.89279999999999993</v>
      </c>
      <c r="V234" s="1469">
        <f>$D$154*'Расчет базового уровня'!$R$165*24/1000</f>
        <v>0.81840000000000013</v>
      </c>
      <c r="W234" s="1470">
        <f t="shared" si="18"/>
        <v>0</v>
      </c>
      <c r="X234" s="1471"/>
      <c r="Y234" s="1467">
        <f t="shared" si="19"/>
        <v>1.2</v>
      </c>
      <c r="Z234" s="1468">
        <f t="shared" si="20"/>
        <v>9.0101977883277617E-2</v>
      </c>
      <c r="AA234" s="1468">
        <f t="shared" si="21"/>
        <v>0.9466301401299464</v>
      </c>
      <c r="AB234" s="1468">
        <f t="shared" si="22"/>
        <v>0.16326788198677589</v>
      </c>
      <c r="AC234" s="1469">
        <f t="shared" si="23"/>
        <v>5.2821961819251015E-2</v>
      </c>
      <c r="AD234" s="1469">
        <f t="shared" si="24"/>
        <v>5.7623958348273822E-2</v>
      </c>
      <c r="AE234" s="1469">
        <f t="shared" si="25"/>
        <v>5.2821961819251015E-2</v>
      </c>
      <c r="AF234" s="1468">
        <f t="shared" si="26"/>
        <v>0</v>
      </c>
      <c r="AG234" s="18"/>
      <c r="AH234" s="18"/>
    </row>
    <row r="235" spans="1:34" s="8" customFormat="1" x14ac:dyDescent="0.25">
      <c r="A235" s="1292"/>
      <c r="B235" s="1475"/>
      <c r="C235" s="1350" t="s">
        <v>1000</v>
      </c>
      <c r="D235" s="1431">
        <f t="shared" ref="D235:J235" si="29">SUM(D223:D234)</f>
        <v>749.6</v>
      </c>
      <c r="E235" s="1431">
        <f t="shared" si="29"/>
        <v>734.2399999999999</v>
      </c>
      <c r="F235" s="1431">
        <f t="shared" si="29"/>
        <v>15.059999999999999</v>
      </c>
      <c r="G235" s="1431">
        <f t="shared" si="29"/>
        <v>0</v>
      </c>
      <c r="H235" s="1431">
        <f t="shared" si="29"/>
        <v>0</v>
      </c>
      <c r="I235" s="1431">
        <f t="shared" si="29"/>
        <v>0</v>
      </c>
      <c r="J235" s="1432">
        <f t="shared" si="29"/>
        <v>0</v>
      </c>
      <c r="K235" s="1605"/>
      <c r="L235" s="1605"/>
      <c r="M235" s="74"/>
      <c r="N235" s="74"/>
      <c r="O235" s="74"/>
      <c r="P235" s="1472">
        <f>SUM(P223:P234)</f>
        <v>218.33119999999997</v>
      </c>
      <c r="Q235" s="1473">
        <f>SUM(Q223:Q234)</f>
        <v>16.752000000000002</v>
      </c>
      <c r="R235" s="1472">
        <f t="shared" ref="R235" si="30">SUM(R223:R234)</f>
        <v>175.99999999999997</v>
      </c>
      <c r="S235" s="1472">
        <f t="shared" ref="S235" si="31">SUM(S223:S234)</f>
        <v>25.579200000000007</v>
      </c>
      <c r="T235" s="1472">
        <f t="shared" ref="T235" si="32">SUM(T223:T234)</f>
        <v>5.8344000000000014</v>
      </c>
      <c r="U235" s="1472">
        <f t="shared" ref="U235" si="33">SUM(U223:U234)</f>
        <v>10.1088</v>
      </c>
      <c r="V235" s="1472">
        <f t="shared" ref="V235" si="34">SUM(V223:V234)</f>
        <v>9.636000000000001</v>
      </c>
      <c r="W235" s="1472">
        <f t="shared" ref="W235" si="35">SUM(W223:W234)</f>
        <v>0</v>
      </c>
      <c r="X235" s="1471"/>
      <c r="Y235" s="1467">
        <f t="shared" si="19"/>
        <v>15.06</v>
      </c>
      <c r="Z235" s="1468">
        <f t="shared" si="20"/>
        <v>1.1555156569468772</v>
      </c>
      <c r="AA235" s="1468">
        <f t="shared" si="21"/>
        <v>12.140088086356874</v>
      </c>
      <c r="AB235" s="1468">
        <f t="shared" si="22"/>
        <v>1.7643962566962492</v>
      </c>
      <c r="AC235" s="1469">
        <f t="shared" si="23"/>
        <v>0.4024439200627305</v>
      </c>
      <c r="AD235" s="1469">
        <f t="shared" si="24"/>
        <v>0.69728251390547946</v>
      </c>
      <c r="AE235" s="1469">
        <f t="shared" si="25"/>
        <v>0.66466982272803887</v>
      </c>
      <c r="AF235" s="1468">
        <f t="shared" si="26"/>
        <v>0</v>
      </c>
      <c r="AG235" s="18"/>
      <c r="AH235" s="18"/>
    </row>
    <row r="236" spans="1:34" s="8" customFormat="1" ht="29.25" customHeight="1" x14ac:dyDescent="0.25">
      <c r="A236" s="1292"/>
      <c r="B236" s="1475"/>
      <c r="C236" s="10"/>
      <c r="D236" s="10"/>
      <c r="E236" s="1513" t="str">
        <f>IF(E235&gt;10000,"Вводите показания в ТЫС кВтч","")</f>
        <v/>
      </c>
      <c r="F236" s="1598"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8"/>
      <c r="H236" s="1598"/>
      <c r="I236" s="1598"/>
      <c r="J236" s="1598"/>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476">
        <f>5/8</f>
        <v>0.625</v>
      </c>
      <c r="C239" s="1600" t="s">
        <v>1431</v>
      </c>
      <c r="D239" s="1600"/>
      <c r="E239" s="160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2"/>
      <c r="B240" s="1477">
        <f>B234+1</f>
        <v>137</v>
      </c>
      <c r="C240" s="1408" t="s">
        <v>1865</v>
      </c>
      <c r="D240" s="1413" t="s">
        <v>724</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77" t="s">
        <v>1281</v>
      </c>
      <c r="D242" s="1577"/>
      <c r="E242" s="1577"/>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2"/>
      <c r="B244" s="1477">
        <f>B240+1</f>
        <v>138</v>
      </c>
      <c r="C244" s="1417" t="s">
        <v>1869</v>
      </c>
      <c r="D244" s="1409" t="s">
        <v>1867</v>
      </c>
      <c r="E244" s="1371">
        <v>42644</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2"/>
      <c r="B245" s="1477">
        <f>B244+1</f>
        <v>139</v>
      </c>
      <c r="C245" s="1417" t="s">
        <v>1870</v>
      </c>
      <c r="D245" s="1371">
        <v>42509</v>
      </c>
      <c r="E245" s="1371">
        <v>42865</v>
      </c>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2"/>
      <c r="B246" s="1475"/>
      <c r="C246" s="1410" t="s">
        <v>1871</v>
      </c>
      <c r="D246" s="1578">
        <f>IF(OR(AND(ISBLANK(E245),ISBLANK(D245)),ISBLANK(E244)),0,IF(E245="",(DATE(E240-1,12,31)-E244+D245-DATE(E240-1,1,1)),E245-E244))</f>
        <v>221</v>
      </c>
      <c r="E246" s="1579"/>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2"/>
      <c r="B249" s="1477"/>
      <c r="C249" s="1434" t="s">
        <v>1422</v>
      </c>
      <c r="D249" s="1526">
        <f>IF(E245="",D245,E245)</f>
        <v>42865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475"/>
      <c r="C250" s="1574" t="s">
        <v>995</v>
      </c>
      <c r="D250" s="1603" t="s">
        <v>1836</v>
      </c>
      <c r="E250" s="1604"/>
      <c r="F250" s="1574" t="s">
        <v>1837</v>
      </c>
      <c r="G250" s="1574"/>
      <c r="H250" s="1575" t="s">
        <v>1282</v>
      </c>
      <c r="I250" s="1576" t="s">
        <v>1287</v>
      </c>
      <c r="J250" s="1576" t="s">
        <v>1288</v>
      </c>
      <c r="K250" s="1601"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475"/>
      <c r="C251" s="1574"/>
      <c r="D251" s="1361" t="s">
        <v>1002</v>
      </c>
      <c r="E251" s="1361" t="s">
        <v>1283</v>
      </c>
      <c r="F251" s="1361" t="s">
        <v>1284</v>
      </c>
      <c r="G251" s="1361" t="s">
        <v>1285</v>
      </c>
      <c r="H251" s="1575"/>
      <c r="I251" s="1576"/>
      <c r="J251" s="1576"/>
      <c r="K251" s="1602"/>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477">
        <f>B245+1</f>
        <v>140</v>
      </c>
      <c r="C252" s="1362" t="s">
        <v>488</v>
      </c>
      <c r="D252" s="1447">
        <f>Климатология!AI2</f>
        <v>-17.3</v>
      </c>
      <c r="E252" s="1518">
        <v>-14.4</v>
      </c>
      <c r="F252" s="1447">
        <f>Климатология!AL2</f>
        <v>1156.3</v>
      </c>
      <c r="G252" s="1447">
        <f>($D$83-IF(I252&lt;0.5*J252,8,E252))*I252</f>
        <v>1066.3999999999999</v>
      </c>
      <c r="H252" s="1451">
        <f>IF(G252=0,0,F252/G252)</f>
        <v>1.0843023255813955</v>
      </c>
      <c r="I252" s="1447">
        <v>31</v>
      </c>
      <c r="J252" s="1447">
        <v>31</v>
      </c>
      <c r="K252" s="1452">
        <f>IF(I252&lt;0.5*J252,8,E252)*I252</f>
        <v>-446.40000000000003</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477">
        <f>B252+1</f>
        <v>141</v>
      </c>
      <c r="C253" s="1363" t="s">
        <v>489</v>
      </c>
      <c r="D253" s="1448">
        <f>Климатология!AM2</f>
        <v>-15.7</v>
      </c>
      <c r="E253" s="1519">
        <v>-14.8</v>
      </c>
      <c r="F253" s="1448">
        <f>Климатология!AP2</f>
        <v>999.60000000000014</v>
      </c>
      <c r="G253" s="1448">
        <f t="shared" ref="G253:G255" si="36">($D$83-IF(I253&lt;0.5*J253,8,E253))*I253</f>
        <v>974.39999999999986</v>
      </c>
      <c r="H253" s="1453">
        <f t="shared" ref="H253:H264" si="37">IF(G253=0,0,F253/G253)</f>
        <v>1.0258620689655176</v>
      </c>
      <c r="I253" s="1448">
        <f>IF(MONTH($D$249)=2,DAY($D$249),IF(MONTH($D$249)&lt;2,0,J253))</f>
        <v>28</v>
      </c>
      <c r="J253" s="1448">
        <v>28</v>
      </c>
      <c r="K253" s="1454">
        <f t="shared" ref="K253:K263" si="38">IF(I253&lt;0.5*J253,8,E253)*I253</f>
        <v>-414.40000000000003</v>
      </c>
      <c r="L253" s="1360">
        <f t="shared" ref="L253:L264" si="39">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477">
        <f t="shared" ref="B254:B263" si="40">B253+1</f>
        <v>142</v>
      </c>
      <c r="C254" s="1363" t="s">
        <v>490</v>
      </c>
      <c r="D254" s="1448">
        <f>Климатология!AQ2</f>
        <v>-8.4</v>
      </c>
      <c r="E254" s="1519">
        <v>-7.6</v>
      </c>
      <c r="F254" s="1448">
        <f>Климатология!AT2</f>
        <v>880.4</v>
      </c>
      <c r="G254" s="1448">
        <f t="shared" si="36"/>
        <v>855.6</v>
      </c>
      <c r="H254" s="1453">
        <f t="shared" si="37"/>
        <v>1.0289855072463767</v>
      </c>
      <c r="I254" s="1448">
        <f>IF(MONTH($D$249)=3,DAY($D$249),IF(MONTH($D$249)&lt;3,0,J254))</f>
        <v>31</v>
      </c>
      <c r="J254" s="1448">
        <v>31</v>
      </c>
      <c r="K254" s="1454">
        <f t="shared" si="38"/>
        <v>-235.6</v>
      </c>
      <c r="L254" s="1360">
        <f t="shared" si="39"/>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477">
        <f t="shared" si="40"/>
        <v>143</v>
      </c>
      <c r="C255" s="1363" t="s">
        <v>491</v>
      </c>
      <c r="D255" s="1448">
        <f>Климатология!AU2</f>
        <v>2.2000000000000002</v>
      </c>
      <c r="E255" s="1519">
        <v>4.8</v>
      </c>
      <c r="F255" s="1448">
        <f>Климатология!AX2</f>
        <v>534</v>
      </c>
      <c r="G255" s="1448">
        <f t="shared" si="36"/>
        <v>456</v>
      </c>
      <c r="H255" s="1453">
        <f t="shared" si="37"/>
        <v>1.1710526315789473</v>
      </c>
      <c r="I255" s="1448">
        <f>IF(MONTH($D$249)=4,DAY($D$249),IF(MONTH($D$249)&lt;4,0,J255))</f>
        <v>30</v>
      </c>
      <c r="J255" s="1448">
        <v>30</v>
      </c>
      <c r="K255" s="1454">
        <f t="shared" si="38"/>
        <v>144</v>
      </c>
      <c r="L255" s="1360">
        <f t="shared" si="39"/>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477">
        <f t="shared" si="40"/>
        <v>144</v>
      </c>
      <c r="C256" s="1363" t="s">
        <v>805</v>
      </c>
      <c r="D256" s="1448">
        <f>Климатология!AY2</f>
        <v>11.1</v>
      </c>
      <c r="E256" s="1519">
        <v>12.6</v>
      </c>
      <c r="F256" s="1448">
        <f>Климатология!BB2</f>
        <v>40.050000000000004</v>
      </c>
      <c r="G256" s="1448">
        <f t="shared" ref="G256:G261" si="41">($D$83-IF(I256&lt;0.5*J256,8,E256))*I256</f>
        <v>120</v>
      </c>
      <c r="H256" s="1453">
        <f t="shared" si="37"/>
        <v>0.33375000000000005</v>
      </c>
      <c r="I256" s="1448">
        <f>IF(MONTH($D$249)=5,DAY($D$249),IF(MONTH($D$249)&lt;5,0,J256))</f>
        <v>10</v>
      </c>
      <c r="J256" s="1448">
        <v>31</v>
      </c>
      <c r="K256" s="1454">
        <f t="shared" si="38"/>
        <v>80</v>
      </c>
      <c r="L256" s="1360">
        <f t="shared" si="39"/>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477">
        <f t="shared" si="40"/>
        <v>145</v>
      </c>
      <c r="C257" s="1363" t="s">
        <v>806</v>
      </c>
      <c r="D257" s="1448">
        <f>Климатология!BC2</f>
        <v>17</v>
      </c>
      <c r="E257" s="1519">
        <v>19.7</v>
      </c>
      <c r="F257" s="1448">
        <f>Климатология!BF2</f>
        <v>0</v>
      </c>
      <c r="G257" s="1448">
        <f t="shared" si="41"/>
        <v>0</v>
      </c>
      <c r="H257" s="1453">
        <f t="shared" si="37"/>
        <v>0</v>
      </c>
      <c r="I257" s="1448">
        <f>IF(MONTH($D$249)=6,DAY($D$249),IF(MONTH($D$249)&lt;6,0,J257))</f>
        <v>0</v>
      </c>
      <c r="J257" s="1448">
        <v>30</v>
      </c>
      <c r="K257" s="1454">
        <f t="shared" si="38"/>
        <v>0</v>
      </c>
      <c r="L257" s="1360">
        <f t="shared" si="39"/>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477">
        <f t="shared" si="40"/>
        <v>146</v>
      </c>
      <c r="C258" s="1363" t="s">
        <v>807</v>
      </c>
      <c r="D258" s="1448">
        <f>Климатология!K2</f>
        <v>19.399999999999999</v>
      </c>
      <c r="E258" s="1519">
        <v>20.2</v>
      </c>
      <c r="F258" s="1448">
        <f>Климатология!N2</f>
        <v>0</v>
      </c>
      <c r="G258" s="1448">
        <f t="shared" si="41"/>
        <v>0</v>
      </c>
      <c r="H258" s="1453">
        <f t="shared" si="37"/>
        <v>0</v>
      </c>
      <c r="I258" s="1448">
        <f>IF(MONTH($D$249)=7,DAY($D$249),IF(MONTH($D$249)&lt;7,0,J258))</f>
        <v>0</v>
      </c>
      <c r="J258" s="1448">
        <v>31</v>
      </c>
      <c r="K258" s="1454">
        <f t="shared" si="38"/>
        <v>0</v>
      </c>
      <c r="L258" s="1360">
        <f t="shared" si="39"/>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477">
        <f t="shared" si="40"/>
        <v>147</v>
      </c>
      <c r="C259" s="1363" t="s">
        <v>808</v>
      </c>
      <c r="D259" s="1448">
        <f>Климатология!O2</f>
        <v>16.2</v>
      </c>
      <c r="E259" s="1519">
        <v>17.3</v>
      </c>
      <c r="F259" s="1448">
        <f>Климатология!R2</f>
        <v>0</v>
      </c>
      <c r="G259" s="1448">
        <f t="shared" si="41"/>
        <v>0</v>
      </c>
      <c r="H259" s="1453">
        <f t="shared" si="37"/>
        <v>0</v>
      </c>
      <c r="I259" s="1448">
        <f>IF(MONTH($E$244)=8,J259-DAY($E$244),IF(MONTH($E$244)&lt;8,J259,0))</f>
        <v>0</v>
      </c>
      <c r="J259" s="1448">
        <v>31</v>
      </c>
      <c r="K259" s="1454">
        <f t="shared" si="38"/>
        <v>0</v>
      </c>
      <c r="L259" s="1360">
        <f t="shared" si="39"/>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477">
        <f t="shared" si="40"/>
        <v>148</v>
      </c>
      <c r="C260" s="1363" t="s">
        <v>809</v>
      </c>
      <c r="D260" s="1448">
        <f>Климатология!S2</f>
        <v>10.199999999999999</v>
      </c>
      <c r="E260" s="1519">
        <v>13.3</v>
      </c>
      <c r="F260" s="1448">
        <f>Климатология!V2</f>
        <v>44.1</v>
      </c>
      <c r="G260" s="1448">
        <f t="shared" si="41"/>
        <v>0</v>
      </c>
      <c r="H260" s="1453">
        <f t="shared" si="37"/>
        <v>0</v>
      </c>
      <c r="I260" s="1448">
        <f>IF(MONTH($E$244)=9,J260-DAY($E$244),IF(MONTH($E$244)&lt;9,J260,0))</f>
        <v>0</v>
      </c>
      <c r="J260" s="1448">
        <v>30</v>
      </c>
      <c r="K260" s="1454">
        <f t="shared" si="38"/>
        <v>0</v>
      </c>
      <c r="L260" s="1360">
        <f t="shared" si="39"/>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477">
        <f t="shared" si="40"/>
        <v>149</v>
      </c>
      <c r="C261" s="1363" t="s">
        <v>482</v>
      </c>
      <c r="D261" s="1448">
        <f>Климатология!W2</f>
        <v>2.5</v>
      </c>
      <c r="E261" s="1519">
        <v>-1.4</v>
      </c>
      <c r="F261" s="1448">
        <f>Климатология!Z2</f>
        <v>542.5</v>
      </c>
      <c r="G261" s="1448">
        <f t="shared" si="41"/>
        <v>642</v>
      </c>
      <c r="H261" s="1453">
        <f t="shared" si="37"/>
        <v>0.84501557632398749</v>
      </c>
      <c r="I261" s="1448">
        <f>IF(MONTH(E244)=10,J261-DAY(E244),IF(MONTH(E244)&lt;10,J261,0))</f>
        <v>30</v>
      </c>
      <c r="J261" s="1448">
        <v>31</v>
      </c>
      <c r="K261" s="1454">
        <f t="shared" si="38"/>
        <v>-42</v>
      </c>
      <c r="L261" s="1360">
        <f t="shared" si="39"/>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477">
        <f t="shared" si="40"/>
        <v>150</v>
      </c>
      <c r="C262" s="1363" t="s">
        <v>486</v>
      </c>
      <c r="D262" s="1448">
        <f>Климатология!AA2</f>
        <v>-7.4</v>
      </c>
      <c r="E262" s="1519">
        <v>-12.9</v>
      </c>
      <c r="F262" s="1454">
        <f>Климатология!AD2</f>
        <v>822</v>
      </c>
      <c r="G262" s="1448">
        <f t="shared" ref="G262:G263" si="42">($D$83-IF(I262&lt;0.5*J262,8,E262))*I262</f>
        <v>987</v>
      </c>
      <c r="H262" s="1453">
        <f t="shared" si="37"/>
        <v>0.83282674772036469</v>
      </c>
      <c r="I262" s="1448">
        <f>IF(MONTH(D249)=11,J262-DAY(D249),IF(MONTH(D249)&lt;11,J262,0))</f>
        <v>30</v>
      </c>
      <c r="J262" s="1448">
        <v>30</v>
      </c>
      <c r="K262" s="1454">
        <f>IF(I262&lt;0.5*J262,8,E262)*I262</f>
        <v>-387</v>
      </c>
      <c r="L262" s="1360">
        <f t="shared" si="39"/>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477">
        <f t="shared" si="40"/>
        <v>151</v>
      </c>
      <c r="C263" s="1364" t="s">
        <v>487</v>
      </c>
      <c r="D263" s="1449">
        <f>Климатология!AE2</f>
        <v>-14.5</v>
      </c>
      <c r="E263" s="1520">
        <v>-12.3</v>
      </c>
      <c r="F263" s="1449">
        <f>Климатология!AH2</f>
        <v>1069.5</v>
      </c>
      <c r="G263" s="1449">
        <f t="shared" si="42"/>
        <v>1001.3</v>
      </c>
      <c r="H263" s="1455">
        <f t="shared" si="37"/>
        <v>1.0681114551083593</v>
      </c>
      <c r="I263" s="1449">
        <f>IF(MONTH(D249)=12,J263-DAY(D249),IF(MONTH(D249)&lt;12,J263,0))</f>
        <v>31</v>
      </c>
      <c r="J263" s="1449">
        <v>31</v>
      </c>
      <c r="K263" s="1456">
        <f t="shared" si="38"/>
        <v>-381.3</v>
      </c>
      <c r="L263" s="1360">
        <f t="shared" si="39"/>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475"/>
      <c r="C264" s="1365" t="s">
        <v>1286</v>
      </c>
      <c r="D264" s="1450">
        <f>Климатология!F2</f>
        <v>-8.1</v>
      </c>
      <c r="E264" s="1433">
        <f>K264</f>
        <v>-7.6140271493212675</v>
      </c>
      <c r="F264" s="1450">
        <f>Климатология!I2</f>
        <v>6210.1</v>
      </c>
      <c r="G264" s="1457">
        <f>($D$83-E264)*D246</f>
        <v>6102.7</v>
      </c>
      <c r="H264" s="1458">
        <f t="shared" si="37"/>
        <v>1.0175987677585332</v>
      </c>
      <c r="I264" s="1457"/>
      <c r="J264" s="1457"/>
      <c r="K264" s="1459">
        <f>IF(D246&lt;&gt;0,SUM(K252:K263)/D246,"")</f>
        <v>-7.6140271493212675</v>
      </c>
      <c r="L264" s="1360">
        <f t="shared" si="39"/>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2"/>
      <c r="B266" s="1476">
        <f>6/8</f>
        <v>0.75</v>
      </c>
      <c r="C266" s="1583" t="s">
        <v>1317</v>
      </c>
      <c r="D266" s="158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477">
        <f>B263+1</f>
        <v>152</v>
      </c>
      <c r="C270" s="1368">
        <v>1231.75</v>
      </c>
      <c r="D270" s="1368">
        <v>2.4900000000000002</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476">
        <f>7/8</f>
        <v>0.875</v>
      </c>
      <c r="C274" s="1599" t="s">
        <v>1643</v>
      </c>
      <c r="D274" s="1599"/>
      <c r="E274" s="1599"/>
      <c r="F274" s="159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2"/>
      <c r="B278" s="1475"/>
      <c r="C278" s="1370">
        <v>3</v>
      </c>
      <c r="D278" s="14" t="s">
        <v>1639</v>
      </c>
      <c r="E278" s="1461" t="str">
        <f>IF(AND(E67="Введено верно"),"","Ошибки во вводе объемно-планировочных характеристик")</f>
        <v/>
      </c>
      <c r="F278" s="1462" t="str">
        <f t="shared" ref="F278:F288" si="43">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2"/>
      <c r="B279" s="1475"/>
      <c r="C279" s="1370">
        <v>4</v>
      </c>
      <c r="D279" s="14" t="s">
        <v>1647</v>
      </c>
      <c r="E279" s="1461" t="str">
        <f>IF(D179="","","Введите температурный график (поля 99-100)")</f>
        <v/>
      </c>
      <c r="F279" s="1462" t="str">
        <f t="shared" si="43"/>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3"/>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2"/>
      <c r="B286" s="1475"/>
      <c r="C286" s="1528">
        <v>11</v>
      </c>
      <c r="D286" s="14" t="s">
        <v>1648</v>
      </c>
      <c r="E286" s="1461" t="str">
        <f>CONCATENATE(D247,E247)</f>
        <v/>
      </c>
      <c r="F286" s="1462"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3"/>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25">
      <c r="A288" s="1292"/>
      <c r="B288" s="1475"/>
      <c r="C288" s="1528">
        <v>13</v>
      </c>
      <c r="D288" s="14" t="s">
        <v>1644</v>
      </c>
      <c r="E288" s="1461" t="str">
        <f>IF(E270="","","Введите тарифы")</f>
        <v/>
      </c>
      <c r="F288" s="1462" t="str">
        <f t="shared" si="43"/>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75" x14ac:dyDescent="0.3">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25">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4">
      <c r="B291" s="1475"/>
      <c r="C291" s="154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v>
      </c>
      <c r="D291" s="1546"/>
      <c r="E291" s="1546"/>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4">
      <c r="B292" s="1476" t="str">
        <f>IF(E289="Ошибок нет","8/8","?/?")</f>
        <v>8/8</v>
      </c>
      <c r="C292" s="1582" t="str">
        <f>IF(AND(E289="Ошибок нет",C291=""),"ГОТОВО!   Переходите на лист "&amp;CHAR(34)&amp;"Список мероприятий"&amp;CHAR(34),"")</f>
        <v/>
      </c>
      <c r="D292" s="1582"/>
      <c r="E292" s="158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25">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88</xdr:row>
                    <xdr:rowOff>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24" activePane="bottomLeft" state="frozen"/>
      <selection pane="bottomLeft" activeCell="H32" sqref="H32:H33"/>
    </sheetView>
  </sheetViews>
  <sheetFormatPr defaultColWidth="9.140625"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x14ac:dyDescent="0.2">
      <c r="A1" s="40"/>
      <c r="B1" s="1683" t="s">
        <v>1661</v>
      </c>
      <c r="C1" s="1683"/>
      <c r="D1" s="1683"/>
      <c r="F1" s="1627" t="s">
        <v>1654</v>
      </c>
      <c r="G1" s="1627"/>
      <c r="H1" s="1627"/>
      <c r="I1" s="42"/>
      <c r="AB1" s="1170"/>
      <c r="AC1" s="1170"/>
    </row>
    <row r="2" spans="1:45" ht="71.25" customHeight="1" x14ac:dyDescent="0.25">
      <c r="A2" s="1379" t="s">
        <v>1842</v>
      </c>
      <c r="B2" s="74"/>
      <c r="C2" s="1667" t="s">
        <v>1476</v>
      </c>
      <c r="D2" s="1667"/>
      <c r="E2" s="1182" t="s">
        <v>1256</v>
      </c>
      <c r="F2" s="1376" t="s">
        <v>1843</v>
      </c>
      <c r="G2" s="1377" t="s">
        <v>1844</v>
      </c>
      <c r="H2" s="1378" t="s">
        <v>1369</v>
      </c>
      <c r="I2" s="1378" t="s">
        <v>1367</v>
      </c>
      <c r="J2" s="1378" t="s">
        <v>1901</v>
      </c>
      <c r="K2" s="1378" t="s">
        <v>1368</v>
      </c>
      <c r="L2" s="1182" t="s">
        <v>1257</v>
      </c>
      <c r="M2" s="74"/>
      <c r="N2" s="74"/>
      <c r="O2" s="1672" t="s">
        <v>1524</v>
      </c>
      <c r="P2" s="1673"/>
      <c r="Q2" s="1674"/>
      <c r="R2" s="1666" t="s">
        <v>1486</v>
      </c>
      <c r="S2" s="1666"/>
      <c r="T2" s="1666" t="s">
        <v>1487</v>
      </c>
      <c r="U2" s="1666"/>
      <c r="V2" s="1671" t="s">
        <v>1488</v>
      </c>
      <c r="W2" s="1671"/>
      <c r="X2" s="1666" t="s">
        <v>1493</v>
      </c>
      <c r="Y2" s="1666"/>
      <c r="Z2" s="74" t="s">
        <v>1503</v>
      </c>
      <c r="AA2" s="1183" t="s">
        <v>894</v>
      </c>
      <c r="AB2" s="1638" t="s">
        <v>896</v>
      </c>
      <c r="AC2" s="1638"/>
      <c r="AD2" s="1184" t="s">
        <v>895</v>
      </c>
      <c r="AF2" s="74"/>
      <c r="AG2" s="74"/>
      <c r="AH2" s="74"/>
      <c r="AI2" s="74"/>
      <c r="AJ2" s="74"/>
      <c r="AK2" s="74"/>
      <c r="AL2" s="74"/>
      <c r="AM2" s="74"/>
      <c r="AN2" s="74"/>
      <c r="AO2" s="74"/>
      <c r="AP2" s="74"/>
      <c r="AQ2" s="74"/>
      <c r="AR2" s="74"/>
      <c r="AS2" s="74"/>
    </row>
    <row r="3" spans="1:45" ht="20.25" customHeight="1" x14ac:dyDescent="0.25">
      <c r="A3" s="74"/>
      <c r="B3" s="74"/>
      <c r="C3" s="74"/>
      <c r="D3" s="1658" t="s">
        <v>1521</v>
      </c>
      <c r="E3" s="1658"/>
      <c r="F3" s="1658"/>
      <c r="G3" s="1658"/>
      <c r="H3" s="1658"/>
      <c r="I3" s="1658"/>
      <c r="J3" s="1658"/>
      <c r="K3" s="1658"/>
      <c r="L3" s="1658"/>
      <c r="M3" s="74"/>
      <c r="N3" s="74"/>
      <c r="O3" s="1668" t="s">
        <v>1523</v>
      </c>
      <c r="P3" s="1669"/>
      <c r="Q3" s="1670"/>
      <c r="R3" s="1666" t="s">
        <v>1486</v>
      </c>
      <c r="S3" s="1666"/>
      <c r="T3" s="1666" t="s">
        <v>1487</v>
      </c>
      <c r="U3" s="1666"/>
      <c r="V3" s="1671" t="s">
        <v>1488</v>
      </c>
      <c r="W3" s="1671"/>
      <c r="X3" s="1666" t="s">
        <v>1493</v>
      </c>
      <c r="Y3" s="166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25">
      <c r="A4" s="74"/>
      <c r="B4" s="74"/>
      <c r="C4" s="166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56%!</v>
      </c>
      <c r="D4" s="166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5" t="str">
        <f>'Ввод исходных данных'!G206</f>
        <v/>
      </c>
      <c r="G4" s="1665"/>
      <c r="H4" s="1665"/>
      <c r="I4" s="1665"/>
      <c r="J4" s="1665"/>
      <c r="K4" s="1665"/>
      <c r="L4" s="1186" t="str">
        <f>'Ввод исходных данных'!I206</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25">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x14ac:dyDescent="0.2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0.35995746034113751</v>
      </c>
      <c r="T6" s="1194"/>
      <c r="U6" s="1195">
        <f>U7+U31+U36</f>
        <v>0</v>
      </c>
      <c r="V6" s="1194"/>
      <c r="W6" s="1196">
        <f>W7+W31+W36+W18+W54+W60+W71</f>
        <v>0.27528718828793514</v>
      </c>
      <c r="X6" s="1196"/>
      <c r="Y6" s="1196">
        <f>Y54+Y71+Y31</f>
        <v>-0.15701509399243488</v>
      </c>
      <c r="Z6" s="74"/>
      <c r="AA6" s="74"/>
      <c r="AB6" s="1171"/>
      <c r="AC6" s="1172"/>
      <c r="AD6" s="75">
        <f>SUM(AD8:AD77)</f>
        <v>0</v>
      </c>
      <c r="AF6" s="74"/>
      <c r="AG6" s="74"/>
      <c r="AH6" s="74"/>
      <c r="AI6" s="74"/>
      <c r="AJ6" s="74"/>
      <c r="AK6" s="74"/>
      <c r="AL6" s="74"/>
      <c r="AM6" s="74"/>
      <c r="AN6" s="74"/>
      <c r="AO6" s="74"/>
      <c r="AP6" s="74"/>
      <c r="AQ6" s="74"/>
      <c r="AR6" s="74"/>
      <c r="AS6" s="74"/>
    </row>
    <row r="7" spans="1:45" ht="15.75" x14ac:dyDescent="0.25">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25">
      <c r="A8" s="1204" t="str">
        <f>IF(OR(AND(AA8=0,AB8=1),AND(AA8=1,AB8=0)),"Ошибка","")</f>
        <v/>
      </c>
      <c r="B8" s="74"/>
      <c r="C8" s="1205"/>
      <c r="D8" s="1206" t="s">
        <v>1291</v>
      </c>
      <c r="E8" s="1628" t="s">
        <v>1848</v>
      </c>
      <c r="F8" s="1380" t="s">
        <v>1845</v>
      </c>
      <c r="G8" s="1380" t="s">
        <v>1310</v>
      </c>
      <c r="H8" s="1380" t="s">
        <v>1309</v>
      </c>
      <c r="I8" s="1380" t="s">
        <v>1309</v>
      </c>
      <c r="J8" s="1380" t="s">
        <v>1309</v>
      </c>
      <c r="K8" s="1380" t="s">
        <v>1309</v>
      </c>
      <c r="L8" s="164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25">
      <c r="A9" s="1204" t="str">
        <f>IF(OR(AND(AA9=0,AC9=TRUE)),"Ошибка","")</f>
        <v/>
      </c>
      <c r="B9" s="74"/>
      <c r="C9" s="1205"/>
      <c r="D9" s="1208" t="s">
        <v>1922</v>
      </c>
      <c r="E9" s="1655"/>
      <c r="F9" s="1685">
        <f>'Расчет базового уровня'!B134</f>
        <v>12544</v>
      </c>
      <c r="G9" s="1632"/>
      <c r="H9" s="1635">
        <f>I9+J9+K9</f>
        <v>0</v>
      </c>
      <c r="I9" s="1634"/>
      <c r="J9" s="1634">
        <f>IF(AB9=1,G9*F9,0)</f>
        <v>0</v>
      </c>
      <c r="K9" s="1634"/>
      <c r="L9" s="1644"/>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0</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4" t="str">
        <f>IF(OR(AND(AA10=0,AB10=1),AND(AA10=1,AB10=0)),"Ошибка","")</f>
        <v/>
      </c>
      <c r="B10" s="74"/>
      <c r="C10" s="1205"/>
      <c r="D10" s="1279" t="s">
        <v>1269</v>
      </c>
      <c r="E10" s="1655"/>
      <c r="F10" s="1686"/>
      <c r="G10" s="1688"/>
      <c r="H10" s="1635"/>
      <c r="I10" s="1634"/>
      <c r="J10" s="1634"/>
      <c r="K10" s="1634"/>
      <c r="L10" s="1644"/>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25">
      <c r="A11" s="1204" t="str">
        <f>IF(OR(AND(AA11=0,AB11=1),AND(AA11=1,AB11=0)),"Ошибка","")</f>
        <v/>
      </c>
      <c r="B11" s="74"/>
      <c r="C11" s="1205"/>
      <c r="D11" s="1279" t="s">
        <v>1268</v>
      </c>
      <c r="E11" s="1655"/>
      <c r="F11" s="1687"/>
      <c r="G11" s="1633"/>
      <c r="H11" s="1635"/>
      <c r="I11" s="1634"/>
      <c r="J11" s="1634"/>
      <c r="K11" s="1634"/>
      <c r="L11" s="1645"/>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25">
      <c r="A12" s="1204" t="str">
        <f>IF(OR(AND(AA12=0,AC12=TRUE)),"Ошибка","")</f>
        <v/>
      </c>
      <c r="B12" s="74"/>
      <c r="C12" s="1205"/>
      <c r="D12" s="1206" t="s">
        <v>1923</v>
      </c>
      <c r="E12" s="1629"/>
      <c r="F12" s="1276">
        <f>F9</f>
        <v>12544</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0</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25">
      <c r="A14" s="1204" t="str">
        <f>IF(AND(AA14=0,AC14=TRUE),"Ошибка","")</f>
        <v/>
      </c>
      <c r="B14" s="74"/>
      <c r="C14" s="1205"/>
      <c r="D14" s="1214" t="s">
        <v>1924</v>
      </c>
      <c r="E14" s="1628"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4" t="str">
        <f>IF(OR(AND(AA15=0,AB15=1),AND(AA15=1,AB15=0)),"Ошибка","")</f>
        <v/>
      </c>
      <c r="B15" s="74"/>
      <c r="C15" s="1205"/>
      <c r="D15" s="1281" t="s">
        <v>1271</v>
      </c>
      <c r="E15" s="1629"/>
      <c r="F15" s="1275">
        <f>'Ввод исходных данных'!G55</f>
        <v>100</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x14ac:dyDescent="0.2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25">
      <c r="A19" s="1204" t="str">
        <f>IF(AND(AA19=0,AB19=1),"Ошибка","")</f>
        <v/>
      </c>
      <c r="B19" s="74"/>
      <c r="C19" s="1205"/>
      <c r="D19" s="1214"/>
      <c r="E19" s="1628" t="s">
        <v>1847</v>
      </c>
      <c r="F19" s="1380" t="s">
        <v>1845</v>
      </c>
      <c r="G19" s="1380" t="s">
        <v>1310</v>
      </c>
      <c r="H19" s="1380" t="s">
        <v>1309</v>
      </c>
      <c r="I19" s="1380" t="s">
        <v>1309</v>
      </c>
      <c r="J19" s="1380" t="s">
        <v>1309</v>
      </c>
      <c r="K19" s="1380" t="s">
        <v>1309</v>
      </c>
      <c r="L19" s="1640"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25">
      <c r="A20" s="1204" t="str">
        <f>IF(AND(AA20=0,AC20=TRUE),"Ошибка","")</f>
        <v/>
      </c>
      <c r="B20" s="74"/>
      <c r="C20" s="1205"/>
      <c r="D20" s="1208" t="s">
        <v>1925</v>
      </c>
      <c r="E20" s="1655"/>
      <c r="F20" s="1639">
        <f>'Расчет базового уровня'!B138</f>
        <v>0</v>
      </c>
      <c r="G20" s="1634"/>
      <c r="H20" s="1635">
        <f>I20+J20+K20</f>
        <v>0</v>
      </c>
      <c r="I20" s="1634"/>
      <c r="J20" s="1634">
        <f>IF(AB20=1,G20*F20,0)</f>
        <v>0</v>
      </c>
      <c r="K20" s="1634"/>
      <c r="L20" s="1641"/>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4" t="str">
        <f>IF(OR(AND(AA21=0,AB21=1),AND(AA21=1,AB21=0)),"Ошибка","")</f>
        <v/>
      </c>
      <c r="B21" s="74"/>
      <c r="C21" s="1205"/>
      <c r="D21" s="1280" t="s">
        <v>1269</v>
      </c>
      <c r="E21" s="1655"/>
      <c r="F21" s="1634"/>
      <c r="G21" s="1634"/>
      <c r="H21" s="1635"/>
      <c r="I21" s="1634"/>
      <c r="J21" s="1634"/>
      <c r="K21" s="1634"/>
      <c r="L21" s="1641"/>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25">
      <c r="A22" s="1204" t="str">
        <f>IF(OR(AND(AA22=0,AB22=1),AND(AA22=1,AB22=0)),"Ошибка","")</f>
        <v/>
      </c>
      <c r="B22" s="74"/>
      <c r="C22" s="1205"/>
      <c r="D22" s="1280" t="s">
        <v>1268</v>
      </c>
      <c r="E22" s="1629"/>
      <c r="F22" s="1634"/>
      <c r="G22" s="1634"/>
      <c r="H22" s="1635"/>
      <c r="I22" s="1634"/>
      <c r="J22" s="1634"/>
      <c r="K22" s="1634"/>
      <c r="L22" s="1642"/>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25">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25">
      <c r="A26" s="1204" t="str">
        <f>IF(AND(AA26=0,AB26=1),"Ошибка","")</f>
        <v/>
      </c>
      <c r="B26" s="74"/>
      <c r="C26" s="1205"/>
      <c r="D26" s="1214" t="s">
        <v>1292</v>
      </c>
      <c r="E26" s="1628" t="s">
        <v>1849</v>
      </c>
      <c r="F26" s="1380" t="s">
        <v>1845</v>
      </c>
      <c r="G26" s="1380" t="s">
        <v>1310</v>
      </c>
      <c r="H26" s="1380" t="s">
        <v>1309</v>
      </c>
      <c r="I26" s="1380" t="s">
        <v>1309</v>
      </c>
      <c r="J26" s="1380" t="s">
        <v>1309</v>
      </c>
      <c r="K26" s="1380" t="s">
        <v>1309</v>
      </c>
      <c r="L26" s="164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25">
      <c r="A27" s="1204" t="str">
        <f>IF(AND(AA27=0,AC27=TRUE),"Ошибка","")</f>
        <v/>
      </c>
      <c r="B27" s="74"/>
      <c r="C27" s="1205"/>
      <c r="D27" s="1208" t="s">
        <v>1927</v>
      </c>
      <c r="E27" s="1655"/>
      <c r="F27" s="1639">
        <f>'Расчет базового уровня'!B139+'Расчет базового уровня'!B140</f>
        <v>4399.2</v>
      </c>
      <c r="G27" s="1639"/>
      <c r="H27" s="1635">
        <f>I27+J27+K27</f>
        <v>0</v>
      </c>
      <c r="I27" s="1634"/>
      <c r="J27" s="1634">
        <f>IF(AB27=1,G27*F27,0)</f>
        <v>0</v>
      </c>
      <c r="K27" s="1634"/>
      <c r="L27" s="164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4" t="str">
        <f>IF(OR(AND(AA28=0,AB28=1),AND(AA28=1,AB28=0)),"Ошибка","")</f>
        <v/>
      </c>
      <c r="B28" s="74"/>
      <c r="C28" s="1205"/>
      <c r="D28" s="1279" t="s">
        <v>1269</v>
      </c>
      <c r="E28" s="1655"/>
      <c r="F28" s="1634"/>
      <c r="G28" s="1634"/>
      <c r="H28" s="1635"/>
      <c r="I28" s="1634"/>
      <c r="J28" s="1634"/>
      <c r="K28" s="1634"/>
      <c r="L28" s="164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25">
      <c r="A29" s="1204" t="str">
        <f>IF(OR(AND(AA29=0,AB29=1),AND(AA29=1,AB29=0)),"Ошибка","")</f>
        <v/>
      </c>
      <c r="B29" s="74"/>
      <c r="C29" s="1205"/>
      <c r="D29" s="1279" t="s">
        <v>1268</v>
      </c>
      <c r="E29" s="1629"/>
      <c r="F29" s="1634"/>
      <c r="G29" s="1634"/>
      <c r="H29" s="1635"/>
      <c r="I29" s="1634"/>
      <c r="J29" s="1634"/>
      <c r="K29" s="1634"/>
      <c r="L29" s="164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x14ac:dyDescent="0.25">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-2364.6473155260692</v>
      </c>
      <c r="R31" s="1224">
        <f>R32+R34+R35</f>
        <v>0.35995746034113751</v>
      </c>
      <c r="S31" s="1224">
        <f>S32+S34+S35</f>
        <v>0.35995746034113751</v>
      </c>
      <c r="T31" s="1225"/>
      <c r="U31" s="1224">
        <f>U32+U34+U35</f>
        <v>0</v>
      </c>
      <c r="V31" s="1225"/>
      <c r="W31" s="1224">
        <f>W32+W34+W35</f>
        <v>0.27528718828793514</v>
      </c>
      <c r="X31" s="1224">
        <f>X32</f>
        <v>-0.15701509399243488</v>
      </c>
      <c r="Y31" s="1224">
        <f>Y32</f>
        <v>-0.15701509399243488</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25">
      <c r="A32" s="1204" t="str">
        <f>IF(AND(AA32=0,AB32=1),"Ошибка","")</f>
        <v/>
      </c>
      <c r="B32" s="74"/>
      <c r="C32" s="1221"/>
      <c r="D32" s="1228" t="s">
        <v>1928</v>
      </c>
      <c r="E32" s="1681" t="s">
        <v>1850</v>
      </c>
      <c r="F32" s="1634">
        <v>1</v>
      </c>
      <c r="G32" s="1639">
        <f>J32</f>
        <v>1118560</v>
      </c>
      <c r="H32" s="1635">
        <f>I32+J32+K32</f>
        <v>2472293.7999999998</v>
      </c>
      <c r="I32" s="1634">
        <v>154485</v>
      </c>
      <c r="J32" s="1634">
        <v>1118560</v>
      </c>
      <c r="K32" s="1634">
        <v>1199248.8</v>
      </c>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1004.3126306508234</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-2364.6473155260692</v>
      </c>
      <c r="R32" s="1209">
        <f>O32/'Расчет базового уровня'!$D$35*1163</f>
        <v>0.35995746034113751</v>
      </c>
      <c r="S32" s="1210">
        <f>R32</f>
        <v>0.35995746034113751</v>
      </c>
      <c r="T32" s="1209">
        <f>IF('Система ГВС'!F3=2,0,P32/'Расчет базового уровня'!$D$85*1163)</f>
        <v>0</v>
      </c>
      <c r="U32" s="1210">
        <f>T32*(1-U39)</f>
        <v>0</v>
      </c>
      <c r="V32" s="1209">
        <f>(O32+P32)/'Расчет базового уровня'!$D$9*1163</f>
        <v>0.27528718828793514</v>
      </c>
      <c r="W32" s="1211">
        <f>(S32*'Расчет базового уровня'!$D$35+'Список мероприятий'!U32*'Расчет базового уровня'!$D$15)/'Расчет базового уровня'!$D$9</f>
        <v>0.27528718828793514</v>
      </c>
      <c r="X32" s="1209">
        <f>Q32/'Расчет базового уровня'!$D$100</f>
        <v>-0.15701509399243488</v>
      </c>
      <c r="Y32" s="1211">
        <f>X32</f>
        <v>-0.15701509399243488</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4" t="str">
        <f>IF(AND(AB32=1,AB33=0),"Ошибка","")</f>
        <v/>
      </c>
      <c r="B33" s="74"/>
      <c r="C33" s="1429" t="str">
        <f>IF(AB32=1,"Выберите тип узла","")</f>
        <v>Выберите тип узла</v>
      </c>
      <c r="D33" s="1278" t="s">
        <v>1266</v>
      </c>
      <c r="E33" s="1682"/>
      <c r="F33" s="1634"/>
      <c r="G33" s="1634"/>
      <c r="H33" s="1635"/>
      <c r="I33" s="1634"/>
      <c r="J33" s="1634"/>
      <c r="K33" s="1634"/>
      <c r="L33" s="1657"/>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x14ac:dyDescent="0.25">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4" t="str">
        <f>IF(AND(AA35=0,AB35=1),"Ошибка","")</f>
        <v/>
      </c>
      <c r="B35" s="74"/>
      <c r="C35" s="1221"/>
      <c r="D35" s="1232" t="s">
        <v>1929</v>
      </c>
      <c r="E35" s="1230" t="s">
        <v>1483</v>
      </c>
      <c r="F35" s="1275"/>
      <c r="G35" s="1275">
        <f>H35</f>
        <v>0</v>
      </c>
      <c r="H35" s="1509">
        <f>I35+J35+K35</f>
        <v>0</v>
      </c>
      <c r="I35" s="1275"/>
      <c r="J35" s="1275"/>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2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25">
      <c r="A37" s="1204" t="str">
        <f>IF(AND(AA37=0,AB37=1),"Ошибка","")</f>
        <v/>
      </c>
      <c r="B37" s="74"/>
      <c r="C37" s="1221"/>
      <c r="D37" s="1236" t="s">
        <v>1295</v>
      </c>
      <c r="E37" s="1230" t="s">
        <v>1854</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5" customHeight="1" x14ac:dyDescent="0.25">
      <c r="A38" s="1204" t="str">
        <f>IF(AND(AA38=0,AC38=TRUE),"Ошибка","")</f>
        <v/>
      </c>
      <c r="B38" s="74"/>
      <c r="C38" s="1221"/>
      <c r="D38" s="1238" t="s">
        <v>1930</v>
      </c>
      <c r="E38" s="1230" t="s">
        <v>1855</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0</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25">
      <c r="A41" s="1240"/>
      <c r="B41" s="74"/>
      <c r="C41" s="1221"/>
      <c r="D41" s="1273">
        <f>'Ввод исходных данных'!G49+'Серии планировка'!AB76</f>
        <v>561.96</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25">
      <c r="A42" s="1242" t="str">
        <f>IF(AND(AA42=0,AB42=1),"Ошибка","")</f>
        <v/>
      </c>
      <c r="B42" s="74"/>
      <c r="C42" s="1221"/>
      <c r="D42" s="1214" t="s">
        <v>1276</v>
      </c>
      <c r="E42" s="1383" t="s">
        <v>1853</v>
      </c>
      <c r="F42" s="1275"/>
      <c r="G42" s="1275"/>
      <c r="H42" s="1277">
        <f>H43+H44+H45</f>
        <v>0</v>
      </c>
      <c r="I42" s="1275"/>
      <c r="J42" s="1275"/>
      <c r="K42" s="1275"/>
      <c r="L42" s="1624" t="s">
        <v>1878</v>
      </c>
      <c r="M42" s="74"/>
      <c r="N42" s="74"/>
      <c r="O42" s="1207"/>
      <c r="P42" s="1207"/>
      <c r="Q42" s="1207"/>
      <c r="R42" s="1189"/>
      <c r="S42" s="1189"/>
      <c r="T42" s="1189"/>
      <c r="U42" s="1189"/>
      <c r="V42" s="1189"/>
      <c r="W42" s="1189"/>
      <c r="X42" s="1189"/>
      <c r="Y42" s="1210">
        <f>SUM(Y43:Y45)</f>
        <v>0</v>
      </c>
      <c r="Z42" s="74"/>
      <c r="AA42" s="1203">
        <f>IF(SUM(AA43:AA45)&gt;0,1,0)</f>
        <v>1</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2" t="str">
        <f>IF(AND(AA43=0,AC43=TRUE),"Ошибка","")</f>
        <v/>
      </c>
      <c r="B43" s="74"/>
      <c r="C43" s="1243"/>
      <c r="D43" s="1244" t="s">
        <v>1350</v>
      </c>
      <c r="E43" s="1245"/>
      <c r="F43" s="1275"/>
      <c r="G43" s="1275"/>
      <c r="H43" s="1430">
        <f t="shared" ref="H43:H45" si="0">I43+J43+K43</f>
        <v>0</v>
      </c>
      <c r="I43" s="1275"/>
      <c r="J43" s="1275"/>
      <c r="K43" s="1275"/>
      <c r="L43" s="162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25">
      <c r="A44" s="1242" t="str">
        <f>IF(AND(AA44=0,AC44=TRUE),"Ошибка","")</f>
        <v/>
      </c>
      <c r="B44" s="74"/>
      <c r="C44" s="1243"/>
      <c r="D44" s="1244" t="s">
        <v>541</v>
      </c>
      <c r="E44" s="1245"/>
      <c r="F44" s="1275"/>
      <c r="G44" s="1275"/>
      <c r="H44" s="1430">
        <f t="shared" si="0"/>
        <v>0</v>
      </c>
      <c r="I44" s="1275"/>
      <c r="J44" s="1275"/>
      <c r="K44" s="1275"/>
      <c r="L44" s="162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1</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25">
      <c r="A45" s="1242" t="str">
        <f>IF(AND(AA45=0,AC45=TRUE),"Ошибка","")</f>
        <v/>
      </c>
      <c r="B45" s="74"/>
      <c r="C45" s="1243"/>
      <c r="D45" s="1244" t="s">
        <v>1351</v>
      </c>
      <c r="E45" s="1245"/>
      <c r="F45" s="1275"/>
      <c r="G45" s="1275"/>
      <c r="H45" s="1430">
        <f t="shared" si="0"/>
        <v>0</v>
      </c>
      <c r="I45" s="1275"/>
      <c r="J45" s="1275"/>
      <c r="K45" s="1275"/>
      <c r="L45" s="162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1</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x14ac:dyDescent="0.25">
      <c r="A47" s="1242" t="str">
        <f>IF(AND(AA47=0,AB47=1),"Ошибка","")</f>
        <v/>
      </c>
      <c r="B47" s="74"/>
      <c r="C47" s="1221"/>
      <c r="D47" s="1246" t="s">
        <v>1383</v>
      </c>
      <c r="E47" s="1383" t="s">
        <v>1853</v>
      </c>
      <c r="F47" s="1275"/>
      <c r="G47" s="1275"/>
      <c r="H47" s="1430">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1</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2" t="str">
        <f>IF(AND(AA48=0,AC48=TRUE),"Ошибка","")</f>
        <v/>
      </c>
      <c r="B48" s="74"/>
      <c r="C48" s="1243"/>
      <c r="D48" s="1244" t="s">
        <v>1350</v>
      </c>
      <c r="E48" s="1245"/>
      <c r="F48" s="1275"/>
      <c r="G48" s="1275"/>
      <c r="H48" s="1430">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25">
      <c r="A49" s="1242" t="str">
        <f>IF(AND(AA49=0,AC49=TRUE),"Ошибка","")</f>
        <v/>
      </c>
      <c r="B49" s="74"/>
      <c r="C49" s="1243"/>
      <c r="D49" s="1244" t="s">
        <v>541</v>
      </c>
      <c r="E49" s="1245"/>
      <c r="F49" s="1275"/>
      <c r="G49" s="1275"/>
      <c r="H49" s="1430">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1</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25">
      <c r="A50" s="1242" t="str">
        <f>IF(AND(AA50=0,AC50=TRUE),"Ошибка","")</f>
        <v/>
      </c>
      <c r="B50" s="74"/>
      <c r="C50" s="1243"/>
      <c r="D50" s="1244" t="s">
        <v>1351</v>
      </c>
      <c r="E50" s="1245"/>
      <c r="F50" s="1275"/>
      <c r="G50" s="1275"/>
      <c r="H50" s="1430">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1</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x14ac:dyDescent="0.25">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1</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x14ac:dyDescent="0.25">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x14ac:dyDescent="0.25">
      <c r="A55" s="1242" t="str">
        <f>IF(AND(AA55=0,AC55=TRUE),"Ошибка","")</f>
        <v/>
      </c>
      <c r="B55" s="74"/>
      <c r="C55" s="1249"/>
      <c r="D55" s="1247" t="s">
        <v>1933</v>
      </c>
      <c r="E55" s="1628" t="s">
        <v>1856</v>
      </c>
      <c r="F55" s="1282"/>
      <c r="G55" s="1282"/>
      <c r="H55" s="1430">
        <f>I55+J55+K55</f>
        <v>0</v>
      </c>
      <c r="I55" s="1282"/>
      <c r="J55" s="1282"/>
      <c r="K55" s="1282"/>
      <c r="L55" s="1653"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2" t="str">
        <f>IF(AND(AA56=0,AC56=TRUE),"Ошибка","")</f>
        <v/>
      </c>
      <c r="B56" s="74"/>
      <c r="C56" s="1249"/>
      <c r="D56" s="1247" t="s">
        <v>1934</v>
      </c>
      <c r="E56" s="1629"/>
      <c r="F56" s="1632"/>
      <c r="G56" s="1632"/>
      <c r="H56" s="1636">
        <f>I56+J56+K56</f>
        <v>0</v>
      </c>
      <c r="I56" s="1632"/>
      <c r="J56" s="1632"/>
      <c r="K56" s="1632"/>
      <c r="L56" s="1654"/>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2"/>
      <c r="B57" s="74"/>
      <c r="C57" s="1384" t="s">
        <v>1862</v>
      </c>
      <c r="D57" s="1385"/>
      <c r="E57" s="1245" t="s">
        <v>1880</v>
      </c>
      <c r="F57" s="1633"/>
      <c r="G57" s="1633"/>
      <c r="H57" s="1637"/>
      <c r="I57" s="1633"/>
      <c r="J57" s="1633"/>
      <c r="K57" s="163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x14ac:dyDescent="0.25">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x14ac:dyDescent="0.2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25">
      <c r="A61" s="1204" t="str">
        <f>IF(AND(AA61=0,AB61=1),"Ошибка","")</f>
        <v/>
      </c>
      <c r="B61" s="74"/>
      <c r="C61" s="1205"/>
      <c r="D61" s="1214" t="s">
        <v>1293</v>
      </c>
      <c r="E61" s="1628" t="s">
        <v>1857</v>
      </c>
      <c r="F61" s="1380" t="s">
        <v>1845</v>
      </c>
      <c r="G61" s="1380" t="s">
        <v>1310</v>
      </c>
      <c r="H61" s="1380" t="s">
        <v>1309</v>
      </c>
      <c r="I61" s="1380" t="s">
        <v>1309</v>
      </c>
      <c r="J61" s="1380" t="s">
        <v>1309</v>
      </c>
      <c r="K61" s="1380" t="s">
        <v>1309</v>
      </c>
      <c r="L61" s="1653"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25">
      <c r="A62" s="1204" t="str">
        <f>IF(AND(AA62=0,AC62=TRUE),"Ошибка","")</f>
        <v/>
      </c>
      <c r="B62" s="74"/>
      <c r="C62" s="1205"/>
      <c r="D62" s="1208" t="s">
        <v>1936</v>
      </c>
      <c r="E62" s="1655"/>
      <c r="F62" s="1639">
        <f>'Расчет базового уровня'!B141</f>
        <v>0</v>
      </c>
      <c r="G62" s="1639"/>
      <c r="H62" s="1635">
        <f>I62+J62+K62</f>
        <v>0</v>
      </c>
      <c r="I62" s="1634"/>
      <c r="J62" s="1634">
        <f>IF(AB62=1,G62*F62,0)</f>
        <v>0</v>
      </c>
      <c r="K62" s="1634"/>
      <c r="L62" s="1656"/>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4" t="str">
        <f>IF(OR(AND(AA63=0,AB63=1),AND(AA63=1,AB63=0)),"Ошибка","")</f>
        <v/>
      </c>
      <c r="B63" s="74"/>
      <c r="C63" s="1205"/>
      <c r="D63" s="1279" t="s">
        <v>1269</v>
      </c>
      <c r="E63" s="1655"/>
      <c r="F63" s="1634"/>
      <c r="G63" s="1634"/>
      <c r="H63" s="1635"/>
      <c r="I63" s="1634"/>
      <c r="J63" s="1634"/>
      <c r="K63" s="1634"/>
      <c r="L63" s="1656"/>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25">
      <c r="A64" s="1204" t="str">
        <f>IF(OR(AND(AA64=0,AB64=1),AND(AA64=1,AB64=0)),"Ошибка","")</f>
        <v/>
      </c>
      <c r="B64" s="74"/>
      <c r="C64" s="1205"/>
      <c r="D64" s="1279" t="s">
        <v>1268</v>
      </c>
      <c r="E64" s="1629"/>
      <c r="F64" s="1634"/>
      <c r="G64" s="1634"/>
      <c r="H64" s="1635"/>
      <c r="I64" s="1634"/>
      <c r="J64" s="1634"/>
      <c r="K64" s="1634"/>
      <c r="L64" s="1657"/>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25">
      <c r="A66" s="1204" t="str">
        <f>IF(AND(AA66=0,AB66=1),"Ошибка","")</f>
        <v/>
      </c>
      <c r="B66" s="74"/>
      <c r="C66" s="1205"/>
      <c r="D66" s="1206" t="s">
        <v>1294</v>
      </c>
      <c r="E66" s="1628" t="s">
        <v>1272</v>
      </c>
      <c r="F66" s="1380" t="s">
        <v>1845</v>
      </c>
      <c r="G66" s="1380" t="s">
        <v>1310</v>
      </c>
      <c r="H66" s="1380" t="s">
        <v>1309</v>
      </c>
      <c r="I66" s="1380" t="s">
        <v>1309</v>
      </c>
      <c r="J66" s="1380" t="s">
        <v>1309</v>
      </c>
      <c r="K66" s="1380" t="s">
        <v>1309</v>
      </c>
      <c r="L66" s="1653"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25">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55"/>
      <c r="F67" s="1639">
        <f>'Расчет базового уровня'!B142</f>
        <v>4399</v>
      </c>
      <c r="G67" s="1639"/>
      <c r="H67" s="1635">
        <f>I67+J67+K67</f>
        <v>0</v>
      </c>
      <c r="I67" s="1634"/>
      <c r="J67" s="1634">
        <f>IF(AB67=1,G67*F67,0)</f>
        <v>0</v>
      </c>
      <c r="K67" s="1634"/>
      <c r="L67" s="1656"/>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4" t="str">
        <f>IF(OR(AND(AA68=0,AB68=1),AND(AA68=1,AB68=0)),"Ошибка","")</f>
        <v/>
      </c>
      <c r="B68" s="74"/>
      <c r="C68" s="1205"/>
      <c r="D68" s="1280" t="s">
        <v>1269</v>
      </c>
      <c r="E68" s="1655"/>
      <c r="F68" s="1634"/>
      <c r="G68" s="1634"/>
      <c r="H68" s="1635"/>
      <c r="I68" s="1634"/>
      <c r="J68" s="1634"/>
      <c r="K68" s="1634"/>
      <c r="L68" s="1656"/>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25">
      <c r="A69" s="1204" t="str">
        <f>IF(OR(AND(AA69=0,AB69=1),AND(AA69=1,AB69=0)),"Ошибка","")</f>
        <v/>
      </c>
      <c r="B69" s="74"/>
      <c r="C69" s="1205"/>
      <c r="D69" s="1279" t="s">
        <v>1268</v>
      </c>
      <c r="E69" s="1629"/>
      <c r="F69" s="1634"/>
      <c r="G69" s="1634"/>
      <c r="H69" s="1635"/>
      <c r="I69" s="1634"/>
      <c r="J69" s="1634"/>
      <c r="K69" s="1634"/>
      <c r="L69" s="1657"/>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x14ac:dyDescent="0.25">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25">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25">
      <c r="A73" s="1204" t="str">
        <f>IF(AND(AA73=0,AC73=TRUE),"Ошибка","")</f>
        <v/>
      </c>
      <c r="B73" s="74"/>
      <c r="C73" s="1003"/>
      <c r="D73" s="1214" t="s">
        <v>1937</v>
      </c>
      <c r="E73" s="1218" t="s">
        <v>1858</v>
      </c>
      <c r="F73" s="1275">
        <f>'Ввод исходных данных'!G65</f>
        <v>28</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0</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04" t="str">
        <f>IF(AND(AA74=0,AC74=TRUE),"Ошибка","")</f>
        <v/>
      </c>
      <c r="B74" s="74"/>
      <c r="C74" s="1003"/>
      <c r="D74" s="1206" t="s">
        <v>1938</v>
      </c>
      <c r="E74" s="1628" t="s">
        <v>1296</v>
      </c>
      <c r="F74" s="1634"/>
      <c r="G74" s="1634"/>
      <c r="H74" s="1635">
        <f>I74+J74+K74</f>
        <v>0</v>
      </c>
      <c r="I74" s="1634"/>
      <c r="J74" s="1634">
        <f>IF(AB74=1,G74*F74,0)</f>
        <v>0</v>
      </c>
      <c r="K74" s="1634"/>
      <c r="L74" s="1630"/>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2"/>
      <c r="B75" s="74"/>
      <c r="C75" s="1003"/>
      <c r="D75" s="1283" t="s">
        <v>461</v>
      </c>
      <c r="E75" s="1629"/>
      <c r="F75" s="1634"/>
      <c r="G75" s="1634"/>
      <c r="H75" s="1635"/>
      <c r="I75" s="1634"/>
      <c r="J75" s="1634"/>
      <c r="K75" s="1634"/>
      <c r="L75" s="1631"/>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25">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x14ac:dyDescent="0.35">
      <c r="A79" s="74"/>
      <c r="B79" s="1684" t="str">
        <f>IF(AND('Список мероприятий'!$AB$32=0,'Система отопления'!F5=0,'Система отопления'!F6=0),"Необходимо выбрать установку АУУ СО или АИТП","")</f>
        <v/>
      </c>
      <c r="C79" s="1684"/>
      <c r="D79" s="1684"/>
      <c r="E79" s="1684"/>
      <c r="F79" s="1684"/>
      <c r="G79" s="1684"/>
      <c r="H79" s="1684"/>
      <c r="I79" s="1684"/>
      <c r="J79" s="1684"/>
      <c r="K79" s="1684"/>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5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52"/>
      <c r="D80" s="1652"/>
      <c r="E80" s="1652"/>
      <c r="F80" s="1652"/>
      <c r="G80" s="1652"/>
      <c r="H80" s="1652"/>
      <c r="I80" s="1652"/>
      <c r="J80" s="1652"/>
      <c r="K80" s="1652"/>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49" t="str">
        <f>IF(списки!C53=1,CONCATENATE(AE9,AE12,AE14,AE20,AE24,AE27,AE37,AE38,AE39,AE42,AE47,AE52,AE32,AE34,AE35,AE55,AE56,AE58,AE62,AE67,AE73,AE74,AE76),"")</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50"/>
      <c r="D81" s="1650"/>
      <c r="E81" s="1650"/>
      <c r="F81" s="1650"/>
      <c r="G81" s="1650"/>
      <c r="H81" s="1650"/>
      <c r="I81" s="1650"/>
      <c r="J81" s="1650"/>
      <c r="K81" s="1651"/>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25">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25">
      <c r="A85" s="74"/>
      <c r="B85" s="74"/>
      <c r="C85" s="74"/>
      <c r="D85" s="1646" t="s">
        <v>1354</v>
      </c>
      <c r="E85" s="1647"/>
      <c r="F85" s="1647"/>
      <c r="G85" s="1647"/>
      <c r="H85" s="1647"/>
      <c r="I85" s="1647"/>
      <c r="J85" s="1648"/>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25">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2472293.7999999998</v>
      </c>
      <c r="G86" s="161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19"/>
      <c r="I86" s="1619"/>
      <c r="J86" s="162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x14ac:dyDescent="0.25">
      <c r="A87" s="74"/>
      <c r="B87" s="74"/>
      <c r="C87" s="74"/>
      <c r="D87" s="1398" t="s">
        <v>1633</v>
      </c>
      <c r="E87" s="1399" t="s">
        <v>1356</v>
      </c>
      <c r="F87" s="1426">
        <f>IF(списки!C51=1,"",F86/'Экономический расчет'!C27)</f>
        <v>73.400167446500234</v>
      </c>
      <c r="G87" s="1621"/>
      <c r="H87" s="1622"/>
      <c r="I87" s="1622"/>
      <c r="J87" s="162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398" t="s">
        <v>1859</v>
      </c>
      <c r="E88" s="1399" t="s">
        <v>1356</v>
      </c>
      <c r="F88" s="1426">
        <f>IF(списки!C51=1,"",F86/('Ввод исходных данных'!G45+'Ввод исходных данных'!D23))</f>
        <v>78.749766677390468</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x14ac:dyDescent="0.25">
      <c r="A89" s="74"/>
      <c r="B89" s="74"/>
      <c r="C89" s="74"/>
      <c r="D89" s="1398" t="s">
        <v>1881</v>
      </c>
      <c r="E89" s="1399" t="s">
        <v>1309</v>
      </c>
      <c r="F89" s="1426">
        <f>IF(списки!C53=0,"",'Экономический расчет'!C19-'Экономический расчет'!D19)</f>
        <v>1231006.3931029607</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25">
      <c r="A90" s="74"/>
      <c r="B90" s="74"/>
      <c r="C90" s="74"/>
      <c r="D90" s="1388" t="s">
        <v>1860</v>
      </c>
      <c r="E90" s="1399" t="s">
        <v>1181</v>
      </c>
      <c r="F90" s="1427">
        <f>'Экономический расчет'!C36</f>
        <v>0.27167252922448937</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25">
      <c r="A91" s="74"/>
      <c r="B91" s="74"/>
      <c r="C91" s="74"/>
      <c r="D91" s="1388" t="s">
        <v>1357</v>
      </c>
      <c r="E91" s="1399" t="s">
        <v>1358</v>
      </c>
      <c r="F91" s="1428">
        <f>IF(списки!C51=1,"",'Экономический расчет'!C37)</f>
        <v>2.0083517143791294</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25">
      <c r="A92" s="74"/>
      <c r="B92" s="74"/>
      <c r="C92" s="74"/>
      <c r="D92" s="1646" t="s">
        <v>1359</v>
      </c>
      <c r="E92" s="1647"/>
      <c r="F92" s="1647"/>
      <c r="G92" s="1647"/>
      <c r="H92" s="1647"/>
      <c r="I92" s="1647"/>
      <c r="J92" s="1648"/>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25">
      <c r="A93" s="74"/>
      <c r="B93" s="74"/>
      <c r="C93" s="74"/>
      <c r="D93" s="1394" t="s">
        <v>1360</v>
      </c>
      <c r="E93" s="1389" t="s">
        <v>1184</v>
      </c>
      <c r="F93" s="1421">
        <f>IF(списки!C53=0,"",'Экономический расчет'!E20)</f>
        <v>1004.1764683731445</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25">
      <c r="A94" s="74"/>
      <c r="B94" s="74"/>
      <c r="C94" s="74"/>
      <c r="D94" s="1395" t="s">
        <v>1361</v>
      </c>
      <c r="E94" s="1396" t="s">
        <v>842</v>
      </c>
      <c r="F94" s="1422">
        <f>IF(списки!C53=0,"",'Экономический расчет'!E23)</f>
        <v>-2364.6473155260683</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2364.6473155260683</v>
      </c>
      <c r="G95" s="1678" t="s">
        <v>1363</v>
      </c>
      <c r="H95" s="1679"/>
      <c r="I95" s="1679"/>
      <c r="J95" s="1680"/>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25">
      <c r="A96" s="74"/>
      <c r="B96" s="74"/>
      <c r="C96" s="74"/>
      <c r="D96" s="1397" t="s">
        <v>1364</v>
      </c>
      <c r="E96" s="1396" t="s">
        <v>842</v>
      </c>
      <c r="F96" s="1422">
        <f>IF(списки!C53=0,"",'Расчет после реализации'!D7)</f>
        <v>1165492.5854024412</v>
      </c>
      <c r="G96" s="1675"/>
      <c r="H96" s="1676"/>
      <c r="I96" s="1676"/>
      <c r="J96" s="1677"/>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397" t="s">
        <v>1365</v>
      </c>
      <c r="E97" s="1396" t="s">
        <v>1366</v>
      </c>
      <c r="F97" s="1424">
        <f>IF(списки!C53=0,"",F96/('Ввод исходных данных'!G45+'Ввод исходных данных'!$G$23))</f>
        <v>41.529957896174132</v>
      </c>
      <c r="G97" s="1675"/>
      <c r="H97" s="1676"/>
      <c r="I97" s="1676"/>
      <c r="J97" s="1677"/>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tabSelected="1" zoomScaleNormal="100" workbookViewId="0">
      <pane ySplit="1" topLeftCell="A2" activePane="bottomLeft" state="frozen"/>
      <selection pane="bottomLeft" activeCell="C33" sqref="C33"/>
    </sheetView>
  </sheetViews>
  <sheetFormatPr defaultColWidth="9.140625" defaultRowHeight="12.75" x14ac:dyDescent="0.2"/>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8" t="s">
        <v>1661</v>
      </c>
      <c r="C1" s="1698"/>
      <c r="D1" s="1698"/>
      <c r="E1" s="1699" t="s">
        <v>1654</v>
      </c>
      <c r="F1" s="1699"/>
      <c r="G1" s="1699"/>
      <c r="H1" s="42"/>
      <c r="I1" s="42"/>
    </row>
    <row r="2" spans="1:44" x14ac:dyDescent="0.2">
      <c r="A2" s="288"/>
      <c r="B2" s="288"/>
      <c r="C2" s="1694" t="s">
        <v>1419</v>
      </c>
      <c r="D2" s="1695"/>
      <c r="E2" s="1696"/>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1501</v>
      </c>
      <c r="C5" s="169" t="s">
        <v>1309</v>
      </c>
      <c r="D5" s="1400">
        <f>'Список мероприятий'!F86</f>
        <v>2472293.7999999998</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1502</v>
      </c>
      <c r="C6" s="169" t="s">
        <v>1309</v>
      </c>
      <c r="D6" s="1401">
        <f>D5</f>
        <v>2472293.7999999998</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1418</v>
      </c>
      <c r="C7" s="169" t="s">
        <v>1309</v>
      </c>
      <c r="D7" s="1401">
        <v>0</v>
      </c>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1945</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2">
      <c r="A10" s="289"/>
      <c r="B10" s="290" t="s">
        <v>1946</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5.5" x14ac:dyDescent="0.2">
      <c r="A11" s="289"/>
      <c r="B11" s="292" t="s">
        <v>1321</v>
      </c>
      <c r="C11" s="169" t="s">
        <v>1309</v>
      </c>
      <c r="D11" s="1400">
        <f>IFERROR(E24*D14,"")</f>
        <v>5887.9718156599101</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1700" t="s">
        <v>1326</v>
      </c>
      <c r="C12" s="1701"/>
      <c r="D12" s="1702"/>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1313</v>
      </c>
      <c r="C13" s="1402" t="s">
        <v>1314</v>
      </c>
      <c r="D13" s="1400">
        <f>'Ввод исходных данных'!C270</f>
        <v>1231.75</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93" t="s">
        <v>1315</v>
      </c>
      <c r="C14" s="1402" t="s">
        <v>1316</v>
      </c>
      <c r="D14" s="1400">
        <f>'Ввод исходных данных'!D270</f>
        <v>2.4900000000000002</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2">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2">
      <c r="A16" s="289"/>
      <c r="B16" s="1704" t="s">
        <v>1443</v>
      </c>
      <c r="C16" s="1705"/>
      <c r="D16" s="1705"/>
      <c r="E16" s="1705"/>
      <c r="F16" s="1705"/>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2">
      <c r="A17" s="289"/>
      <c r="B17" s="293"/>
      <c r="C17" s="1693" t="s">
        <v>1309</v>
      </c>
      <c r="D17" s="1693"/>
      <c r="E17" s="1693"/>
      <c r="F17" s="1693"/>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2">
      <c r="A18" s="289"/>
      <c r="B18" s="293"/>
      <c r="C18" s="1510" t="s">
        <v>1322</v>
      </c>
      <c r="D18" s="1511" t="s">
        <v>1327</v>
      </c>
      <c r="E18" s="1512" t="s">
        <v>1921</v>
      </c>
      <c r="F18" s="1703"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293" t="s">
        <v>1323</v>
      </c>
      <c r="C19" s="1400">
        <f>C20+C23</f>
        <v>4531214.0930000003</v>
      </c>
      <c r="D19" s="1400">
        <f>D20+D23</f>
        <v>3300207.6998970397</v>
      </c>
      <c r="E19" s="1405"/>
      <c r="F19" s="1703"/>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03" t="s">
        <v>1420</v>
      </c>
      <c r="C20" s="1400">
        <f>C21+C22</f>
        <v>4493714.693</v>
      </c>
      <c r="D20" s="1400">
        <f>D21+D22</f>
        <v>3256820.3280813796</v>
      </c>
      <c r="E20" s="1405">
        <f>IF(списки!C53=0,0,E21+E22)</f>
        <v>1004.1764683731445</v>
      </c>
      <c r="F20" s="1703"/>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04" t="s">
        <v>1324</v>
      </c>
      <c r="C21" s="1400">
        <f>'Расчет базового уровня'!D13*'Экономический расчет'!$D$13</f>
        <v>3436689.6622500005</v>
      </c>
      <c r="D21" s="1400">
        <f>IF(списки!C53=0,0,'Расчет после реализации'!D12/1163*'Экономический расчет'!$D$13)</f>
        <v>2199795.2973313797</v>
      </c>
      <c r="E21" s="1405">
        <f>IF(списки!C53=0,0,'Расчет после реализации'!D13/1163)</f>
        <v>1004.1764683731445</v>
      </c>
      <c r="F21" s="1703"/>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04" t="s">
        <v>1325</v>
      </c>
      <c r="C22" s="1400">
        <f>'Расчет базового уровня'!D16*'Экономический расчет'!$D$13</f>
        <v>1057025.0307499999</v>
      </c>
      <c r="D22" s="1400">
        <f>IF(списки!C53=0,0,'Расчет после реализации'!D15/1163*'Экономический расчет'!$D$13)</f>
        <v>1057025.0307499999</v>
      </c>
      <c r="E22" s="1405">
        <f>IF(списки!C53=0,0,'Расчет после реализации'!D86/1163)</f>
        <v>0</v>
      </c>
      <c r="F22" s="1703"/>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2">
      <c r="A23" s="289"/>
      <c r="B23" s="1403" t="s">
        <v>1421</v>
      </c>
      <c r="C23" s="1400">
        <f>'Расчет базового уровня'!D18*'Экономический расчет'!$D$14</f>
        <v>37499.4</v>
      </c>
      <c r="D23" s="1400">
        <f>IF(списки!C53=0,0,'Расчет после реализации'!D18*'Экономический расчет'!$D$14)</f>
        <v>43387.371815659913</v>
      </c>
      <c r="E23" s="1405">
        <f>IF(списки!C53=0,0,'Расчет после реализации'!C100-'Расчет после реализации'!D100)</f>
        <v>-2364.6473155260683</v>
      </c>
      <c r="F23" s="1703"/>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2">
      <c r="A24" s="289"/>
      <c r="B24" s="1697" t="s">
        <v>1448</v>
      </c>
      <c r="C24" s="1697"/>
      <c r="D24" s="1697"/>
      <c r="E24" s="1406">
        <f>IF(списки!C53=0,"",IF('Расчет после реализации'!D106&gt;'Расчет после реализации'!C106,'Расчет после реализации'!D106-'Расчет после реализации'!C106,0))</f>
        <v>2364.6473155260683</v>
      </c>
      <c r="F24" s="1703"/>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2">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493" t="s">
        <v>1902</v>
      </c>
      <c r="C27" s="1400">
        <f>'Ввод исходных данных'!G44</f>
        <v>33682.400000000001</v>
      </c>
      <c r="D27" s="1689"/>
      <c r="E27" s="1689"/>
      <c r="F27" s="16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493" t="s">
        <v>1861</v>
      </c>
      <c r="C28" s="1400">
        <f>'Ввод исходных данных'!G45+'Ввод исходных данных'!D23</f>
        <v>31394.300000000003</v>
      </c>
      <c r="D28" s="1689"/>
      <c r="E28" s="1689"/>
      <c r="F28" s="16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493" t="s">
        <v>1406</v>
      </c>
      <c r="C29" s="1400">
        <f>'Список мероприятий'!F86</f>
        <v>2472293.7999999998</v>
      </c>
      <c r="D29" s="1689"/>
      <c r="E29" s="1689"/>
      <c r="F29" s="16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493" t="s">
        <v>1903</v>
      </c>
      <c r="C30" s="1400">
        <f>IFERROR(C29/C27,"")</f>
        <v>73.400167446500234</v>
      </c>
      <c r="D30" s="1689" t="s">
        <v>1595</v>
      </c>
      <c r="E30" s="1689"/>
      <c r="F30" s="16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493" t="s">
        <v>1903</v>
      </c>
      <c r="C31" s="1400">
        <f>IFERROR(C29/C28,"")</f>
        <v>78.749766677390468</v>
      </c>
      <c r="D31" s="1689" t="s">
        <v>1636</v>
      </c>
      <c r="E31" s="1689"/>
      <c r="F31" s="16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2">
      <c r="A32" s="289"/>
      <c r="B32" s="1493" t="s">
        <v>1408</v>
      </c>
      <c r="C32" s="1400"/>
      <c r="D32" s="1689"/>
      <c r="E32" s="1689"/>
      <c r="F32" s="16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2">
      <c r="A33" s="289"/>
      <c r="B33" s="1494" t="s">
        <v>1416</v>
      </c>
      <c r="C33" s="1400">
        <f>IF(OR(D6=0,списки!C51=1),"",MIN(5000000,D6/2,IF(AND(C36&gt;=0.1,C36&lt;=0.3),(C36*10+1)*C35,IF(C36&gt;0.3,4*C35,0))))</f>
        <v>1236146.8999999999</v>
      </c>
      <c r="D33" s="1690" t="str">
        <f>E6</f>
        <v/>
      </c>
      <c r="E33" s="1690"/>
      <c r="F33" s="1690"/>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2">
      <c r="A34" s="289"/>
      <c r="B34" s="1494" t="s">
        <v>1417</v>
      </c>
      <c r="C34" s="1400">
        <f>IFERROR(MIN(5*10^6-C33,D6/2-C33,IF(списки!C51=1,0,ABS(D7+PMT(MIN(D9,D10)/12,MIN(D8,60),D7)*MIN(D8,60)))),0)</f>
        <v>0</v>
      </c>
      <c r="D34" s="1691" t="str">
        <f>IF(IFERROR(C34,0)&gt;0,"Внимание: ориентировочная сумма!","")</f>
        <v/>
      </c>
      <c r="E34" s="1691"/>
      <c r="F34" s="1691"/>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493" t="s">
        <v>1610</v>
      </c>
      <c r="C35" s="1400">
        <f>IF(списки!C49=1,0,C36*(C19))</f>
        <v>1231006.3931029607</v>
      </c>
      <c r="D35" s="1689"/>
      <c r="E35" s="1689"/>
      <c r="F35" s="16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493" t="s">
        <v>1409</v>
      </c>
      <c r="C36" s="296">
        <f>IF(списки!C53=0,"",1-D19/C19)</f>
        <v>0.27167252922448937</v>
      </c>
      <c r="D36" s="1692"/>
      <c r="E36" s="1692"/>
      <c r="F36" s="1692"/>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2">
      <c r="A37" s="289"/>
      <c r="B37" s="1493" t="s">
        <v>1407</v>
      </c>
      <c r="C37" s="295">
        <f>IF(списки!C51=1,"",D5/C35)</f>
        <v>2.0083517143791294</v>
      </c>
      <c r="D37" s="1689"/>
      <c r="E37" s="1689"/>
      <c r="F37" s="16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0">
        <v>1</v>
      </c>
      <c r="C42" s="1271">
        <f>'Список мероприятий'!W9</f>
        <v>0</v>
      </c>
      <c r="D42" s="1270" t="str">
        <f>IF(E42=0,"","Повыш-е теплозащ. наружных стен")</f>
        <v/>
      </c>
      <c r="E42" s="1272">
        <f t="shared" ref="E42:E64" si="0">F42/SUM($F$42:$F$64)</f>
        <v>0</v>
      </c>
      <c r="F42" s="1270">
        <f t="shared" ref="F42:F53" si="1">$C42*$C$20</f>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0">
        <v>7</v>
      </c>
      <c r="C48" s="1271">
        <f>'Список мероприятий'!W32</f>
        <v>0.27528718828793514</v>
      </c>
      <c r="D48" s="1270" t="str">
        <f>IF(E48=0,"","Установка узлов управления")</f>
        <v>Установка узлов управления</v>
      </c>
      <c r="E48" s="1272">
        <f t="shared" si="0"/>
        <v>1</v>
      </c>
      <c r="F48" s="1517">
        <f t="shared" si="1"/>
        <v>1237062.0828041516</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0">
        <v>10</v>
      </c>
      <c r="C51" s="1271">
        <f>'Список мероприятий'!W37</f>
        <v>0</v>
      </c>
      <c r="D51" s="1270" t="str">
        <f>IF(E51=0,"","Ремонт трубопровода СО")</f>
        <v/>
      </c>
      <c r="E51" s="1272">
        <f t="shared" si="0"/>
        <v>0</v>
      </c>
      <c r="F51" s="1517">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0">
        <v>11</v>
      </c>
      <c r="C52" s="1271">
        <f>'Список мероприятий'!W38</f>
        <v>0</v>
      </c>
      <c r="D52" s="1270" t="str">
        <f>IF(E52=0,"","Ремонт трубопровода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2">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E17:F17"/>
    <mergeCell ref="C2:E2"/>
    <mergeCell ref="C17:D17"/>
    <mergeCell ref="B24:D24"/>
    <mergeCell ref="B1:D1"/>
    <mergeCell ref="E1:G1"/>
    <mergeCell ref="B12:D12"/>
    <mergeCell ref="F18:F24"/>
    <mergeCell ref="B16:F16"/>
    <mergeCell ref="D37:F37"/>
    <mergeCell ref="D32:F32"/>
    <mergeCell ref="D33:F33"/>
    <mergeCell ref="D34:F34"/>
    <mergeCell ref="D35:F35"/>
    <mergeCell ref="D36:F36"/>
    <mergeCell ref="D27:F27"/>
    <mergeCell ref="D28:F28"/>
    <mergeCell ref="D29:F29"/>
    <mergeCell ref="D30:F30"/>
    <mergeCell ref="D31:F31"/>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83" t="s">
        <v>1661</v>
      </c>
      <c r="C1" s="1683"/>
      <c r="D1" s="1683"/>
      <c r="E1" s="1420" t="s">
        <v>1654</v>
      </c>
      <c r="F1" s="41"/>
      <c r="G1" s="42"/>
      <c r="H1" s="42"/>
      <c r="I1" s="42"/>
    </row>
    <row r="2" spans="1:26" ht="53.25" customHeight="1" x14ac:dyDescent="0.2">
      <c r="A2" s="44"/>
      <c r="B2" s="1711" t="s">
        <v>1882</v>
      </c>
      <c r="C2" s="1711"/>
      <c r="D2" s="1711"/>
      <c r="E2" s="1711"/>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12" t="s">
        <v>1883</v>
      </c>
      <c r="C3" s="1712"/>
      <c r="D3" s="1712"/>
      <c r="E3" s="1712"/>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13" t="s">
        <v>1662</v>
      </c>
      <c r="C4" s="1714"/>
      <c r="D4" s="1714"/>
      <c r="E4" s="1715"/>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16" t="s">
        <v>1663</v>
      </c>
      <c r="C5" s="1717"/>
      <c r="D5" s="1718"/>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2">
      <c r="A6" s="44"/>
      <c r="B6" s="1708" t="s">
        <v>1666</v>
      </c>
      <c r="C6" s="1709"/>
      <c r="D6" s="171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2">
      <c r="A7" s="44"/>
      <c r="B7" s="1708" t="s">
        <v>1669</v>
      </c>
      <c r="C7" s="1709"/>
      <c r="D7" s="171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2">
      <c r="A8" s="44"/>
      <c r="B8" s="1708" t="s">
        <v>1672</v>
      </c>
      <c r="C8" s="1709"/>
      <c r="D8" s="171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2">
      <c r="A9" s="44"/>
      <c r="B9" s="1708" t="s">
        <v>1675</v>
      </c>
      <c r="C9" s="1709"/>
      <c r="D9" s="171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08" t="s">
        <v>1677</v>
      </c>
      <c r="C10" s="1709"/>
      <c r="D10" s="171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08" t="s">
        <v>1679</v>
      </c>
      <c r="C11" s="1709"/>
      <c r="D11" s="171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08" t="s">
        <v>1680</v>
      </c>
      <c r="C12" s="1709"/>
      <c r="D12" s="171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19"/>
      <c r="C13" s="1720"/>
      <c r="D13" s="172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13" t="s">
        <v>1884</v>
      </c>
      <c r="C14" s="1714"/>
      <c r="D14" s="1714"/>
      <c r="E14" s="1715"/>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1681</v>
      </c>
      <c r="C15" s="1722" t="s">
        <v>1885</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1682</v>
      </c>
      <c r="C16" s="53"/>
      <c r="D16" s="1724" t="s">
        <v>1683</v>
      </c>
      <c r="E16" s="1725"/>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1684</v>
      </c>
      <c r="C17" s="55"/>
      <c r="D17" s="1706" t="s">
        <v>1685</v>
      </c>
      <c r="E17" s="1707"/>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1686</v>
      </c>
      <c r="C18" s="55"/>
      <c r="D18" s="1706" t="s">
        <v>1687</v>
      </c>
      <c r="E18" s="170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26" t="s">
        <v>1688</v>
      </c>
      <c r="C19" s="1728"/>
      <c r="D19" s="1706" t="s">
        <v>1689</v>
      </c>
      <c r="E19" s="170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27"/>
      <c r="C20" s="1729"/>
      <c r="D20" s="1730"/>
      <c r="E20" s="1731"/>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1690</v>
      </c>
      <c r="C21" s="1722" t="s">
        <v>1886</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1684</v>
      </c>
      <c r="C23" s="55"/>
      <c r="D23" s="1706" t="s">
        <v>1693</v>
      </c>
      <c r="E23" s="170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1686</v>
      </c>
      <c r="C24" s="55"/>
      <c r="D24" s="1706" t="s">
        <v>1694</v>
      </c>
      <c r="E24" s="170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1688</v>
      </c>
      <c r="C25" s="55"/>
      <c r="D25" s="1706" t="s">
        <v>1695</v>
      </c>
      <c r="E25" s="170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1696</v>
      </c>
      <c r="C26" s="55"/>
      <c r="D26" s="1706" t="s">
        <v>1697</v>
      </c>
      <c r="E26" s="170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1698</v>
      </c>
      <c r="C27" s="57"/>
      <c r="D27" s="1732" t="s">
        <v>1689</v>
      </c>
      <c r="E27" s="173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1684</v>
      </c>
      <c r="C30" s="55"/>
      <c r="D30" s="1706" t="s">
        <v>1702</v>
      </c>
      <c r="E30" s="170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1686</v>
      </c>
      <c r="C31" s="55"/>
      <c r="D31" s="1706" t="s">
        <v>1703</v>
      </c>
      <c r="E31" s="170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1688</v>
      </c>
      <c r="C32" s="57"/>
      <c r="D32" s="1732" t="s">
        <v>1704</v>
      </c>
      <c r="E32" s="173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1705</v>
      </c>
      <c r="C33" s="1722" t="s">
        <v>1887</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1682</v>
      </c>
      <c r="C34" s="53"/>
      <c r="D34" s="1724" t="s">
        <v>1894</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1684</v>
      </c>
      <c r="C35" s="55"/>
      <c r="D35" s="1706" t="s">
        <v>1707</v>
      </c>
      <c r="E35" s="170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1686</v>
      </c>
      <c r="C36" s="55"/>
      <c r="D36" s="1706" t="s">
        <v>1708</v>
      </c>
      <c r="E36" s="170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1688</v>
      </c>
      <c r="C37" s="57"/>
      <c r="D37" s="1743" t="s">
        <v>1895</v>
      </c>
      <c r="E37" s="1744"/>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1710</v>
      </c>
      <c r="C38" s="1722" t="s">
        <v>1888</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1682</v>
      </c>
      <c r="C39" s="53"/>
      <c r="D39" s="1741" t="s">
        <v>1711</v>
      </c>
      <c r="E39" s="1742"/>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34" t="s">
        <v>1684</v>
      </c>
      <c r="C40" s="1728"/>
      <c r="D40" s="1737" t="s">
        <v>1712</v>
      </c>
      <c r="E40" s="173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35"/>
      <c r="C41" s="1736"/>
      <c r="D41" s="1739"/>
      <c r="E41" s="1740"/>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1686</v>
      </c>
      <c r="C42" s="60"/>
      <c r="D42" s="1737" t="s">
        <v>1713</v>
      </c>
      <c r="E42" s="173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1688</v>
      </c>
      <c r="C43" s="55"/>
      <c r="D43" s="1737" t="s">
        <v>1714</v>
      </c>
      <c r="E43" s="173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26" t="s">
        <v>1696</v>
      </c>
      <c r="C44" s="1745"/>
      <c r="D44" s="1747" t="s">
        <v>1689</v>
      </c>
      <c r="E44" s="174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27"/>
      <c r="C45" s="1746"/>
      <c r="D45" s="1730"/>
      <c r="E45" s="1731"/>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1716</v>
      </c>
      <c r="C46" s="1722" t="s">
        <v>1889</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1684</v>
      </c>
      <c r="C48" s="60"/>
      <c r="D48" s="1706" t="s">
        <v>1719</v>
      </c>
      <c r="E48" s="1707"/>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1686</v>
      </c>
      <c r="C49" s="60"/>
      <c r="D49" s="1706" t="s">
        <v>1721</v>
      </c>
      <c r="E49" s="1707"/>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4" t="s">
        <v>1688</v>
      </c>
      <c r="C50" s="55"/>
      <c r="D50" s="1706" t="s">
        <v>1722</v>
      </c>
      <c r="E50" s="1707"/>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1696</v>
      </c>
      <c r="C51" s="55"/>
      <c r="D51" s="1706" t="s">
        <v>1723</v>
      </c>
      <c r="E51" s="1707"/>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1734" t="s">
        <v>1698</v>
      </c>
      <c r="C52" s="1728"/>
      <c r="D52" s="1706" t="s">
        <v>1689</v>
      </c>
      <c r="E52" s="1707"/>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2">
      <c r="A53" s="44"/>
      <c r="B53" s="1751"/>
      <c r="C53" s="1729"/>
      <c r="D53" s="1752"/>
      <c r="E53" s="1753"/>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2">
      <c r="A54" s="44"/>
      <c r="B54" s="58" t="s">
        <v>1724</v>
      </c>
      <c r="C54" s="1722" t="s">
        <v>1725</v>
      </c>
      <c r="D54" s="1722"/>
      <c r="E54" s="1723"/>
      <c r="F54" s="44"/>
      <c r="G54" s="44" t="s">
        <v>68</v>
      </c>
      <c r="H54" s="44"/>
      <c r="I54" s="44"/>
      <c r="J54" s="44"/>
      <c r="K54" s="44"/>
      <c r="L54" s="44"/>
      <c r="M54" s="44"/>
      <c r="N54" s="44"/>
      <c r="O54" s="44"/>
      <c r="P54" s="44"/>
      <c r="Q54" s="44"/>
      <c r="R54" s="44"/>
      <c r="S54" s="44"/>
      <c r="T54" s="44"/>
      <c r="U54" s="44"/>
      <c r="V54" s="44"/>
      <c r="W54" s="44"/>
      <c r="X54" s="44"/>
      <c r="Y54" s="44"/>
      <c r="Z54" s="44"/>
    </row>
    <row r="55" spans="1:26" x14ac:dyDescent="0.2">
      <c r="A55" s="44"/>
      <c r="B55" s="52" t="s">
        <v>1682</v>
      </c>
      <c r="C55" s="53"/>
      <c r="D55" s="1724" t="s">
        <v>1726</v>
      </c>
      <c r="E55" s="1725"/>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2">
      <c r="A56" s="44"/>
      <c r="B56" s="1726" t="s">
        <v>1684</v>
      </c>
      <c r="C56" s="1745"/>
      <c r="D56" s="1706" t="s">
        <v>1727</v>
      </c>
      <c r="E56" s="1707"/>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2">
      <c r="A57" s="44"/>
      <c r="B57" s="1726"/>
      <c r="C57" s="1745"/>
      <c r="D57" s="1749"/>
      <c r="E57" s="1750"/>
      <c r="F57" s="44"/>
      <c r="G57" s="44" t="s">
        <v>145</v>
      </c>
      <c r="H57" s="44"/>
      <c r="I57" s="44"/>
      <c r="J57" s="44"/>
      <c r="K57" s="44"/>
      <c r="L57" s="44"/>
      <c r="M57" s="44"/>
      <c r="N57" s="44"/>
      <c r="O57" s="44"/>
      <c r="P57" s="44"/>
      <c r="Q57" s="44"/>
      <c r="R57" s="44"/>
      <c r="S57" s="44"/>
      <c r="T57" s="44"/>
      <c r="U57" s="44"/>
      <c r="V57" s="44"/>
      <c r="W57" s="44"/>
      <c r="X57" s="44"/>
      <c r="Y57" s="44"/>
      <c r="Z57" s="44"/>
    </row>
    <row r="58" spans="1:26" x14ac:dyDescent="0.2">
      <c r="A58" s="44"/>
      <c r="B58" s="54" t="s">
        <v>1686</v>
      </c>
      <c r="C58" s="55"/>
      <c r="D58" s="1706" t="s">
        <v>1728</v>
      </c>
      <c r="E58" s="1707"/>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2">
      <c r="A59" s="44"/>
      <c r="B59" s="56" t="s">
        <v>1688</v>
      </c>
      <c r="C59" s="57"/>
      <c r="D59" s="1732" t="s">
        <v>1729</v>
      </c>
      <c r="E59" s="173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2">
      <c r="A60" s="44"/>
      <c r="B60" s="58" t="s">
        <v>1730</v>
      </c>
      <c r="C60" s="1722" t="s">
        <v>1890</v>
      </c>
      <c r="D60" s="1722"/>
      <c r="E60" s="1723"/>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2">
      <c r="A61" s="44"/>
      <c r="B61" s="52" t="s">
        <v>1682</v>
      </c>
      <c r="C61" s="53"/>
      <c r="D61" s="1724" t="s">
        <v>1732</v>
      </c>
      <c r="E61" s="1725"/>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1726" t="s">
        <v>1684</v>
      </c>
      <c r="C62" s="1745"/>
      <c r="D62" s="1706" t="s">
        <v>1734</v>
      </c>
      <c r="E62" s="1707"/>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2">
      <c r="A63" s="44"/>
      <c r="B63" s="1726"/>
      <c r="C63" s="1745"/>
      <c r="D63" s="1749"/>
      <c r="E63" s="1750"/>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2">
      <c r="A64" s="44"/>
      <c r="B64" s="54" t="s">
        <v>1686</v>
      </c>
      <c r="C64" s="55"/>
      <c r="D64" s="1706" t="s">
        <v>1736</v>
      </c>
      <c r="E64" s="1707"/>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6" t="s">
        <v>1688</v>
      </c>
      <c r="C65" s="57"/>
      <c r="D65" s="1732" t="s">
        <v>1737</v>
      </c>
      <c r="E65" s="173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2">
      <c r="A66" s="44"/>
      <c r="B66" s="58" t="s">
        <v>1738</v>
      </c>
      <c r="C66" s="1722" t="s">
        <v>1891</v>
      </c>
      <c r="D66" s="1722"/>
      <c r="E66" s="1723"/>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2">
      <c r="A67" s="44"/>
      <c r="B67" s="52" t="s">
        <v>1682</v>
      </c>
      <c r="C67" s="53"/>
      <c r="D67" s="1724" t="s">
        <v>1739</v>
      </c>
      <c r="E67" s="1725"/>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4" t="s">
        <v>1684</v>
      </c>
      <c r="C68" s="55"/>
      <c r="D68" s="1706" t="s">
        <v>1741</v>
      </c>
      <c r="E68" s="1707"/>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6" t="s">
        <v>1686</v>
      </c>
      <c r="C69" s="57"/>
      <c r="D69" s="1754" t="s">
        <v>1737</v>
      </c>
      <c r="E69" s="1755"/>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2">
      <c r="A70" s="44"/>
      <c r="B70" s="58" t="s">
        <v>1743</v>
      </c>
      <c r="C70" s="1722" t="s">
        <v>1892</v>
      </c>
      <c r="D70" s="1722"/>
      <c r="E70" s="1723"/>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2">
      <c r="A71" s="44"/>
      <c r="B71" s="52" t="s">
        <v>1682</v>
      </c>
      <c r="C71" s="53"/>
      <c r="D71" s="1724" t="s">
        <v>1744</v>
      </c>
      <c r="E71" s="1725"/>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4" t="s">
        <v>1684</v>
      </c>
      <c r="C72" s="55"/>
      <c r="D72" s="1706" t="s">
        <v>1745</v>
      </c>
      <c r="E72" s="1707"/>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1686</v>
      </c>
      <c r="C73" s="55"/>
      <c r="D73" s="1706" t="s">
        <v>1746</v>
      </c>
      <c r="E73" s="1707"/>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6" t="s">
        <v>1688</v>
      </c>
      <c r="C74" s="57"/>
      <c r="D74" s="1754" t="s">
        <v>1737</v>
      </c>
      <c r="E74" s="1755"/>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2">
      <c r="A75" s="44"/>
      <c r="B75" s="58" t="s">
        <v>1747</v>
      </c>
      <c r="C75" s="1722" t="s">
        <v>1893</v>
      </c>
      <c r="D75" s="1722"/>
      <c r="E75" s="1723"/>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2">
      <c r="A76" s="44"/>
      <c r="B76" s="1756"/>
      <c r="C76" s="1757"/>
      <c r="D76" s="1757"/>
      <c r="E76" s="1758"/>
      <c r="F76" s="44"/>
      <c r="G76" s="44" t="s">
        <v>55</v>
      </c>
      <c r="H76" s="44"/>
      <c r="I76" s="44"/>
      <c r="J76" s="44"/>
      <c r="K76" s="44"/>
      <c r="L76" s="44"/>
      <c r="M76" s="44"/>
      <c r="N76" s="44"/>
      <c r="O76" s="44"/>
      <c r="P76" s="44"/>
      <c r="Q76" s="44"/>
      <c r="R76" s="44"/>
      <c r="S76" s="44"/>
      <c r="T76" s="44"/>
      <c r="U76" s="44"/>
      <c r="V76" s="44"/>
      <c r="W76" s="44"/>
      <c r="X76" s="44"/>
      <c r="Y76" s="44"/>
      <c r="Z76" s="44"/>
    </row>
    <row r="77" spans="1:26" x14ac:dyDescent="0.2">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2">
      <c r="A78" s="44"/>
      <c r="B78" s="1759" t="s">
        <v>1896</v>
      </c>
      <c r="C78" s="1759"/>
      <c r="D78" s="1759"/>
      <c r="E78" s="175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2">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2">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B76:E76"/>
    <mergeCell ref="B78:E78"/>
    <mergeCell ref="C70:E70"/>
    <mergeCell ref="D71:E71"/>
    <mergeCell ref="D72:E72"/>
    <mergeCell ref="D73:E73"/>
    <mergeCell ref="D74:E74"/>
    <mergeCell ref="C75:E75"/>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D59:E59"/>
    <mergeCell ref="B56:B57"/>
    <mergeCell ref="B52:B53"/>
    <mergeCell ref="C52:C53"/>
    <mergeCell ref="D52:E52"/>
    <mergeCell ref="D53:E53"/>
    <mergeCell ref="C54:E54"/>
    <mergeCell ref="D58:E58"/>
    <mergeCell ref="C44:C45"/>
    <mergeCell ref="D44:E44"/>
    <mergeCell ref="D45:E45"/>
    <mergeCell ref="C46:E46"/>
    <mergeCell ref="D47:E47"/>
    <mergeCell ref="D48:E48"/>
    <mergeCell ref="D49:E49"/>
    <mergeCell ref="D50:E50"/>
    <mergeCell ref="D55:E55"/>
    <mergeCell ref="D51:E51"/>
    <mergeCell ref="C56:C57"/>
    <mergeCell ref="D56:E56"/>
    <mergeCell ref="D57:E57"/>
    <mergeCell ref="D35:E35"/>
    <mergeCell ref="D36:E36"/>
    <mergeCell ref="D37:E37"/>
    <mergeCell ref="D42:E42"/>
    <mergeCell ref="D29:E29"/>
    <mergeCell ref="D30:E30"/>
    <mergeCell ref="D31:E31"/>
    <mergeCell ref="B40:B41"/>
    <mergeCell ref="C40:C41"/>
    <mergeCell ref="D40:E40"/>
    <mergeCell ref="D41:E41"/>
    <mergeCell ref="C38:E38"/>
    <mergeCell ref="D39:E39"/>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x14ac:dyDescent="0.2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3" t="s">
        <v>610</v>
      </c>
      <c r="B2" s="924" t="str">
        <f>CONCATENATE('Ввод исходных данных'!D14,'Ввод исходных данных'!D19,'Ввод исходных данных'!D17)</f>
        <v>Нет в списке98</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25">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25">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25">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25">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25">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25">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25">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25">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25">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25">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25">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25">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25">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25">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25">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25">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25">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25">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25">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25">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25">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25">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25">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25">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25">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25">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25">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25">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25">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25">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25">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25">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25">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25">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25">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25">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25">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25">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25">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25">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25">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25">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25">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25">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5">
      <c r="A76" s="1003"/>
      <c r="B76" s="1003"/>
      <c r="C76" s="1003" t="str">
        <f>B2</f>
        <v>Нет в списке98</v>
      </c>
      <c r="D76" s="1003">
        <f>'Ввод исходных данных'!D19</f>
        <v>9</v>
      </c>
      <c r="E76" s="1003">
        <f>'Ввод исходных данных'!D17</f>
        <v>8</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27</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534.96</v>
      </c>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40625"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88" t="s">
        <v>1172</v>
      </c>
      <c r="B3" s="1788"/>
      <c r="C3" s="1788"/>
      <c r="D3" s="1788"/>
      <c r="E3" s="1788"/>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92" t="s">
        <v>834</v>
      </c>
      <c r="B4" s="1778" t="s">
        <v>1174</v>
      </c>
      <c r="C4" s="1794" t="s">
        <v>1175</v>
      </c>
      <c r="D4" s="1774" t="s">
        <v>1176</v>
      </c>
      <c r="E4" s="1772" t="s">
        <v>1177</v>
      </c>
      <c r="F4" s="74"/>
      <c r="G4" s="1781" t="s">
        <v>834</v>
      </c>
      <c r="H4" s="1786" t="s">
        <v>1174</v>
      </c>
      <c r="I4" s="1789" t="s">
        <v>488</v>
      </c>
      <c r="J4" s="1790"/>
      <c r="K4" s="1791"/>
      <c r="L4" s="1789" t="s">
        <v>489</v>
      </c>
      <c r="M4" s="1790"/>
      <c r="N4" s="1791"/>
      <c r="O4" s="1789" t="s">
        <v>490</v>
      </c>
      <c r="P4" s="1790"/>
      <c r="Q4" s="1791"/>
      <c r="R4" s="1789" t="s">
        <v>491</v>
      </c>
      <c r="S4" s="1790"/>
      <c r="T4" s="1791"/>
      <c r="U4" s="1789" t="s">
        <v>805</v>
      </c>
      <c r="V4" s="1790"/>
      <c r="W4" s="1791"/>
      <c r="X4" s="1789" t="s">
        <v>806</v>
      </c>
      <c r="Y4" s="1790"/>
      <c r="Z4" s="1791"/>
      <c r="AA4" s="1789" t="s">
        <v>807</v>
      </c>
      <c r="AB4" s="1790"/>
      <c r="AC4" s="1791"/>
      <c r="AD4" s="1789" t="s">
        <v>808</v>
      </c>
      <c r="AE4" s="1790"/>
      <c r="AF4" s="1791"/>
      <c r="AG4" s="1789" t="s">
        <v>809</v>
      </c>
      <c r="AH4" s="1790"/>
      <c r="AI4" s="1791"/>
      <c r="AJ4" s="1789" t="s">
        <v>482</v>
      </c>
      <c r="AK4" s="1790"/>
      <c r="AL4" s="1791"/>
      <c r="AM4" s="1789" t="s">
        <v>486</v>
      </c>
      <c r="AN4" s="1790"/>
      <c r="AO4" s="1791"/>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93"/>
      <c r="B5" s="1779"/>
      <c r="C5" s="1795"/>
      <c r="D5" s="1775"/>
      <c r="E5" s="1773"/>
      <c r="F5" s="74"/>
      <c r="G5" s="1782"/>
      <c r="H5" s="1787"/>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2" t="s">
        <v>1178</v>
      </c>
      <c r="B6" s="523" t="s">
        <v>842</v>
      </c>
      <c r="C6" s="524">
        <f>C12+C15+C18</f>
        <v>3008913.646072017</v>
      </c>
      <c r="D6" s="525">
        <f>D12+D15+D18</f>
        <v>4257958.4680000003</v>
      </c>
      <c r="E6" s="526">
        <f>E12+E15+E18</f>
        <v>4315064.2023207769</v>
      </c>
      <c r="F6" s="74"/>
      <c r="G6" s="527" t="s">
        <v>1178</v>
      </c>
      <c r="H6" s="528" t="s">
        <v>842</v>
      </c>
      <c r="I6" s="327">
        <f>I12+I15+I18</f>
        <v>479756.09437220381</v>
      </c>
      <c r="J6" s="529">
        <f t="shared" ref="J6" si="0">J12+J15+J18</f>
        <v>643011.98100000003</v>
      </c>
      <c r="K6" s="530">
        <f t="shared" ref="K6" si="1">K12+K15+K18</f>
        <v>687683.78467441862</v>
      </c>
      <c r="L6" s="327">
        <f>L12+L15+L18</f>
        <v>417157.30793295364</v>
      </c>
      <c r="M6" s="529">
        <f t="shared" ref="M6:N6" si="2">M12+M15+M18</f>
        <v>730548.51199999999</v>
      </c>
      <c r="N6" s="530">
        <f t="shared" si="2"/>
        <v>746254.45604310371</v>
      </c>
      <c r="O6" s="531">
        <f>O12+O15+O18</f>
        <v>370595.58859427297</v>
      </c>
      <c r="P6" s="532">
        <f t="shared" ref="P6:Q6" si="3">P12+P15+P18</f>
        <v>436204.54600000003</v>
      </c>
      <c r="Q6" s="533">
        <f t="shared" si="3"/>
        <v>445865.30046376813</v>
      </c>
      <c r="R6" s="327">
        <f>R12+R15+R18</f>
        <v>233341.5695926866</v>
      </c>
      <c r="S6" s="529">
        <f t="shared" ref="S6:T6" si="4">S12+S15+S18</f>
        <v>413356.71500000003</v>
      </c>
      <c r="T6" s="530">
        <f t="shared" si="4"/>
        <v>472948.45243421057</v>
      </c>
      <c r="U6" s="531">
        <f>U12+U15+U18</f>
        <v>56386.955291502767</v>
      </c>
      <c r="V6" s="532">
        <f t="shared" ref="V6:W6" si="5">V12+V15+V18</f>
        <v>217108.73200000002</v>
      </c>
      <c r="W6" s="533">
        <f t="shared" si="5"/>
        <v>106548.66325750001</v>
      </c>
      <c r="X6" s="327">
        <f>X12+X15+X18</f>
        <v>54684.013589743583</v>
      </c>
      <c r="Y6" s="529">
        <f t="shared" ref="Y6:Z6" si="6">Y12+Y15+Y18</f>
        <v>47332.811000000002</v>
      </c>
      <c r="Z6" s="530">
        <f t="shared" si="6"/>
        <v>47332.811000000002</v>
      </c>
      <c r="AA6" s="531">
        <f>AA12+AA15+AA18</f>
        <v>38317.696589743588</v>
      </c>
      <c r="AB6" s="532">
        <f t="shared" ref="AB6:AC6" si="7">AB12+AB15+AB18</f>
        <v>60613</v>
      </c>
      <c r="AC6" s="533">
        <f t="shared" si="7"/>
        <v>60613</v>
      </c>
      <c r="AD6" s="327">
        <f>AD12+AD15+AD18</f>
        <v>55971.391820512814</v>
      </c>
      <c r="AE6" s="529">
        <f t="shared" ref="AE6:AF6" si="8">AE12+AE15+AE18</f>
        <v>44531</v>
      </c>
      <c r="AF6" s="530">
        <f t="shared" si="8"/>
        <v>44531</v>
      </c>
      <c r="AG6" s="327">
        <f>AG12+AG15+AG18</f>
        <v>80465.607345699682</v>
      </c>
      <c r="AH6" s="529">
        <f t="shared" ref="AH6:AI6" si="9">AH12+AH15+AH18</f>
        <v>64002</v>
      </c>
      <c r="AI6" s="530">
        <f t="shared" si="9"/>
        <v>64002</v>
      </c>
      <c r="AJ6" s="327">
        <f>AJ12+AJ15+AJ18</f>
        <v>238459.54371972854</v>
      </c>
      <c r="AK6" s="529">
        <f t="shared" ref="AK6:AL6" si="10">AK12+AK15+AK18</f>
        <v>353669.283</v>
      </c>
      <c r="AL6" s="530">
        <f t="shared" si="10"/>
        <v>313881.04492289718</v>
      </c>
      <c r="AM6" s="327">
        <f>AM12+AM15+AM18</f>
        <v>347289.46978856937</v>
      </c>
      <c r="AN6" s="529">
        <f t="shared" ref="AN6:AO6" si="11">AN12+AN15+AN18</f>
        <v>625818.20700000005</v>
      </c>
      <c r="AO6" s="530">
        <f t="shared" si="11"/>
        <v>542878.54385410342</v>
      </c>
      <c r="AP6" s="534">
        <f>AP12+AP15+AP18</f>
        <v>445413.46334094461</v>
      </c>
      <c r="AQ6" s="535">
        <f t="shared" ref="AQ6:AR6" si="12">AQ12+AQ15+AQ18</f>
        <v>621761.6810000001</v>
      </c>
      <c r="AR6" s="535">
        <f t="shared" si="12"/>
        <v>656307.69224458211</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58" t="s">
        <v>874</v>
      </c>
      <c r="B7" s="359" t="s">
        <v>1180</v>
      </c>
      <c r="C7" s="536">
        <f>C6*0.123/1000</f>
        <v>370.09637846685808</v>
      </c>
      <c r="D7" s="537">
        <f>D6*0.123/1000</f>
        <v>523.72889156400004</v>
      </c>
      <c r="E7" s="538">
        <f>E6*0.123/1000</f>
        <v>530.75289688545558</v>
      </c>
      <c r="F7" s="74"/>
      <c r="G7" s="539" t="s">
        <v>874</v>
      </c>
      <c r="H7" s="540" t="s">
        <v>1180</v>
      </c>
      <c r="I7" s="536">
        <f t="shared" ref="I7:AR7" si="13">I6*0.123/1000</f>
        <v>59.009999607781062</v>
      </c>
      <c r="J7" s="537">
        <f t="shared" si="13"/>
        <v>79.090473662999997</v>
      </c>
      <c r="K7" s="538">
        <f t="shared" si="13"/>
        <v>84.585105514953497</v>
      </c>
      <c r="L7" s="536">
        <f t="shared" si="13"/>
        <v>51.310348875753299</v>
      </c>
      <c r="M7" s="537">
        <f t="shared" si="13"/>
        <v>89.857466975999998</v>
      </c>
      <c r="N7" s="538">
        <f t="shared" si="13"/>
        <v>91.789298093301753</v>
      </c>
      <c r="O7" s="536">
        <f t="shared" si="13"/>
        <v>45.583257397095572</v>
      </c>
      <c r="P7" s="537">
        <f t="shared" si="13"/>
        <v>53.653159158000001</v>
      </c>
      <c r="Q7" s="538">
        <f t="shared" si="13"/>
        <v>54.841431957043483</v>
      </c>
      <c r="R7" s="536">
        <f t="shared" si="13"/>
        <v>28.70101305990045</v>
      </c>
      <c r="S7" s="537">
        <f t="shared" si="13"/>
        <v>50.842875945000003</v>
      </c>
      <c r="T7" s="538">
        <f t="shared" si="13"/>
        <v>58.172659649407898</v>
      </c>
      <c r="U7" s="536">
        <f t="shared" si="13"/>
        <v>6.9355955008548396</v>
      </c>
      <c r="V7" s="537">
        <f t="shared" si="13"/>
        <v>26.704374036000001</v>
      </c>
      <c r="W7" s="538">
        <f t="shared" si="13"/>
        <v>13.1054855806725</v>
      </c>
      <c r="X7" s="536">
        <f t="shared" si="13"/>
        <v>6.7261336715384603</v>
      </c>
      <c r="Y7" s="537">
        <f t="shared" si="13"/>
        <v>5.821935753</v>
      </c>
      <c r="Z7" s="538">
        <f t="shared" si="13"/>
        <v>5.821935753</v>
      </c>
      <c r="AA7" s="536">
        <f t="shared" si="13"/>
        <v>4.7130766805384612</v>
      </c>
      <c r="AB7" s="537">
        <f t="shared" si="13"/>
        <v>7.4553990000000008</v>
      </c>
      <c r="AC7" s="541">
        <f t="shared" si="13"/>
        <v>7.4553990000000008</v>
      </c>
      <c r="AD7" s="536">
        <f t="shared" si="13"/>
        <v>6.8844811939230759</v>
      </c>
      <c r="AE7" s="537">
        <f t="shared" si="13"/>
        <v>5.4773130000000005</v>
      </c>
      <c r="AF7" s="538">
        <f t="shared" si="13"/>
        <v>5.4773130000000005</v>
      </c>
      <c r="AG7" s="536">
        <f t="shared" si="13"/>
        <v>9.8972697035210597</v>
      </c>
      <c r="AH7" s="537">
        <f t="shared" si="13"/>
        <v>7.8722460000000005</v>
      </c>
      <c r="AI7" s="538">
        <f t="shared" si="13"/>
        <v>7.8722460000000005</v>
      </c>
      <c r="AJ7" s="536">
        <f t="shared" si="13"/>
        <v>29.330523877526609</v>
      </c>
      <c r="AK7" s="537">
        <f t="shared" si="13"/>
        <v>43.501321809000004</v>
      </c>
      <c r="AL7" s="538">
        <f t="shared" si="13"/>
        <v>38.60736852551635</v>
      </c>
      <c r="AM7" s="536">
        <f t="shared" si="13"/>
        <v>42.716604783994029</v>
      </c>
      <c r="AN7" s="537">
        <f t="shared" si="13"/>
        <v>76.975639461</v>
      </c>
      <c r="AO7" s="538">
        <f t="shared" si="13"/>
        <v>66.774060894054728</v>
      </c>
      <c r="AP7" s="542">
        <f t="shared" si="13"/>
        <v>54.785855990936184</v>
      </c>
      <c r="AQ7" s="537">
        <f t="shared" si="13"/>
        <v>76.476686763000004</v>
      </c>
      <c r="AR7" s="538">
        <f t="shared" si="13"/>
        <v>80.725846146083597</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4" t="s">
        <v>1347</v>
      </c>
      <c r="B9" s="523" t="s">
        <v>842</v>
      </c>
      <c r="C9" s="555">
        <f>C12+C15</f>
        <v>2790582.4460720168</v>
      </c>
      <c r="D9" s="525">
        <f>D12+D15</f>
        <v>4242898.4680000003</v>
      </c>
      <c r="E9" s="556">
        <f>E12+E15</f>
        <v>4300004.2023207769</v>
      </c>
      <c r="F9" s="456"/>
      <c r="G9" s="557" t="s">
        <v>1183</v>
      </c>
      <c r="H9" s="528" t="s">
        <v>842</v>
      </c>
      <c r="I9" s="327">
        <f t="shared" ref="I9:AR9" si="16">I12+I15</f>
        <v>461163.82770553714</v>
      </c>
      <c r="J9" s="529">
        <f t="shared" si="16"/>
        <v>641611.98100000003</v>
      </c>
      <c r="K9" s="530">
        <f t="shared" si="16"/>
        <v>686283.78467441862</v>
      </c>
      <c r="L9" s="327">
        <f t="shared" si="16"/>
        <v>398809.84126628697</v>
      </c>
      <c r="M9" s="529">
        <f t="shared" si="16"/>
        <v>728298.51199999999</v>
      </c>
      <c r="N9" s="530">
        <f t="shared" si="16"/>
        <v>744004.45604310371</v>
      </c>
      <c r="O9" s="327">
        <f t="shared" si="16"/>
        <v>352003.3219276063</v>
      </c>
      <c r="P9" s="529">
        <f t="shared" si="16"/>
        <v>434894.54600000003</v>
      </c>
      <c r="Q9" s="530">
        <f t="shared" si="16"/>
        <v>444555.30046376813</v>
      </c>
      <c r="R9" s="327">
        <f t="shared" si="16"/>
        <v>214830.90292601995</v>
      </c>
      <c r="S9" s="529">
        <f t="shared" si="16"/>
        <v>412056.71500000003</v>
      </c>
      <c r="T9" s="530">
        <f t="shared" si="16"/>
        <v>471648.45243421057</v>
      </c>
      <c r="U9" s="327">
        <f t="shared" si="16"/>
        <v>38494.288624836103</v>
      </c>
      <c r="V9" s="529">
        <f t="shared" si="16"/>
        <v>216508.73200000002</v>
      </c>
      <c r="W9" s="530">
        <f t="shared" si="16"/>
        <v>105948.66325750001</v>
      </c>
      <c r="X9" s="327">
        <f t="shared" si="16"/>
        <v>36965.346923076919</v>
      </c>
      <c r="Y9" s="529">
        <f t="shared" si="16"/>
        <v>46632.811000000002</v>
      </c>
      <c r="Z9" s="530">
        <f t="shared" si="16"/>
        <v>46632.811000000002</v>
      </c>
      <c r="AA9" s="327">
        <f t="shared" si="16"/>
        <v>20947.029923076923</v>
      </c>
      <c r="AB9" s="529">
        <f t="shared" si="16"/>
        <v>59313</v>
      </c>
      <c r="AC9" s="530">
        <f t="shared" si="16"/>
        <v>59313</v>
      </c>
      <c r="AD9" s="327">
        <f t="shared" si="16"/>
        <v>38197.525153846153</v>
      </c>
      <c r="AE9" s="529">
        <f t="shared" si="16"/>
        <v>43031</v>
      </c>
      <c r="AF9" s="530">
        <f t="shared" si="16"/>
        <v>43031</v>
      </c>
      <c r="AG9" s="327">
        <f t="shared" si="16"/>
        <v>62628.140679033007</v>
      </c>
      <c r="AH9" s="529">
        <f t="shared" si="16"/>
        <v>62802</v>
      </c>
      <c r="AI9" s="530">
        <f t="shared" si="16"/>
        <v>62802</v>
      </c>
      <c r="AJ9" s="327">
        <f t="shared" si="16"/>
        <v>219867.27705306187</v>
      </c>
      <c r="AK9" s="529">
        <f t="shared" si="16"/>
        <v>352669.283</v>
      </c>
      <c r="AL9" s="530">
        <f t="shared" si="16"/>
        <v>312881.04492289718</v>
      </c>
      <c r="AM9" s="327">
        <f t="shared" si="16"/>
        <v>328778.80312190269</v>
      </c>
      <c r="AN9" s="529">
        <f t="shared" si="16"/>
        <v>624518.20700000005</v>
      </c>
      <c r="AO9" s="530">
        <f t="shared" si="16"/>
        <v>541578.54385410342</v>
      </c>
      <c r="AP9" s="534">
        <f t="shared" si="16"/>
        <v>426821.19667427795</v>
      </c>
      <c r="AQ9" s="535">
        <f t="shared" si="16"/>
        <v>620561.6810000001</v>
      </c>
      <c r="AR9" s="535">
        <f t="shared" si="16"/>
        <v>655107.69224458211</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58" t="s">
        <v>874</v>
      </c>
      <c r="B10" s="359" t="s">
        <v>1184</v>
      </c>
      <c r="C10" s="558">
        <f>C9*0.86/1000</f>
        <v>2399.9009036219345</v>
      </c>
      <c r="D10" s="559">
        <f>D9*0.86/1000</f>
        <v>3648.8926824800005</v>
      </c>
      <c r="E10" s="560">
        <f>E9*0.86/1000</f>
        <v>3698.0036139958684</v>
      </c>
      <c r="F10" s="74">
        <f>C10/'Ввод исходных данных'!$G$45</f>
        <v>8.5515587770122276E-2</v>
      </c>
      <c r="G10" s="539" t="s">
        <v>874</v>
      </c>
      <c r="H10" s="540" t="s">
        <v>1184</v>
      </c>
      <c r="I10" s="561">
        <f t="shared" ref="I10:AR10" si="17">I9*0.86/1000</f>
        <v>396.60089182676194</v>
      </c>
      <c r="J10" s="286">
        <f t="shared" si="17"/>
        <v>551.78630365999993</v>
      </c>
      <c r="K10" s="562">
        <f t="shared" si="17"/>
        <v>590.20405482000001</v>
      </c>
      <c r="L10" s="561">
        <f t="shared" si="17"/>
        <v>342.97646348900679</v>
      </c>
      <c r="M10" s="286">
        <f t="shared" si="17"/>
        <v>626.33672031999993</v>
      </c>
      <c r="N10" s="562">
        <f t="shared" si="17"/>
        <v>639.84383219706922</v>
      </c>
      <c r="O10" s="561">
        <f t="shared" si="17"/>
        <v>302.72285685774142</v>
      </c>
      <c r="P10" s="286">
        <f t="shared" si="17"/>
        <v>374.00930956000002</v>
      </c>
      <c r="Q10" s="562">
        <f t="shared" si="17"/>
        <v>382.31755839884062</v>
      </c>
      <c r="R10" s="561">
        <f t="shared" si="17"/>
        <v>184.75457651637717</v>
      </c>
      <c r="S10" s="286">
        <f t="shared" si="17"/>
        <v>354.36877490000001</v>
      </c>
      <c r="T10" s="562">
        <f t="shared" si="17"/>
        <v>405.61766909342106</v>
      </c>
      <c r="U10" s="561">
        <f t="shared" si="17"/>
        <v>33.105088217359054</v>
      </c>
      <c r="V10" s="286">
        <f t="shared" si="17"/>
        <v>186.19750952000001</v>
      </c>
      <c r="W10" s="562">
        <f t="shared" si="17"/>
        <v>91.115850401450004</v>
      </c>
      <c r="X10" s="561">
        <f t="shared" si="17"/>
        <v>31.790198353846151</v>
      </c>
      <c r="Y10" s="286">
        <f t="shared" si="17"/>
        <v>40.104217460000001</v>
      </c>
      <c r="Z10" s="562">
        <f t="shared" si="17"/>
        <v>40.104217460000001</v>
      </c>
      <c r="AA10" s="561">
        <f t="shared" si="17"/>
        <v>18.014445733846156</v>
      </c>
      <c r="AB10" s="286">
        <f t="shared" si="17"/>
        <v>51.009180000000001</v>
      </c>
      <c r="AC10" s="562">
        <f t="shared" si="17"/>
        <v>51.009180000000001</v>
      </c>
      <c r="AD10" s="561">
        <f t="shared" si="17"/>
        <v>32.849871632307689</v>
      </c>
      <c r="AE10" s="286">
        <f t="shared" si="17"/>
        <v>37.006659999999997</v>
      </c>
      <c r="AF10" s="562">
        <f t="shared" si="17"/>
        <v>37.006659999999997</v>
      </c>
      <c r="AG10" s="561">
        <f t="shared" si="17"/>
        <v>53.86020098396839</v>
      </c>
      <c r="AH10" s="286">
        <f t="shared" si="17"/>
        <v>54.009720000000002</v>
      </c>
      <c r="AI10" s="562">
        <f t="shared" si="17"/>
        <v>54.009720000000002</v>
      </c>
      <c r="AJ10" s="561">
        <f t="shared" si="17"/>
        <v>189.08585826563319</v>
      </c>
      <c r="AK10" s="286">
        <f t="shared" si="17"/>
        <v>303.29558337999998</v>
      </c>
      <c r="AL10" s="562">
        <f t="shared" si="17"/>
        <v>269.07769863369157</v>
      </c>
      <c r="AM10" s="561">
        <f t="shared" si="17"/>
        <v>282.74977068483634</v>
      </c>
      <c r="AN10" s="286">
        <f t="shared" si="17"/>
        <v>537.0856580200001</v>
      </c>
      <c r="AO10" s="562">
        <f t="shared" si="17"/>
        <v>465.75754771452893</v>
      </c>
      <c r="AP10" s="563">
        <f t="shared" si="17"/>
        <v>367.06622913987906</v>
      </c>
      <c r="AQ10" s="286">
        <f t="shared" si="17"/>
        <v>533.68304566000006</v>
      </c>
      <c r="AR10" s="286">
        <f t="shared" si="17"/>
        <v>563.39261533034062</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58" t="s">
        <v>874</v>
      </c>
      <c r="B11" s="359" t="s">
        <v>1181</v>
      </c>
      <c r="C11" s="564">
        <f>C9/$C$6</f>
        <v>0.92743852909005198</v>
      </c>
      <c r="D11" s="565">
        <f>D9/$D$6</f>
        <v>0.99646309373067377</v>
      </c>
      <c r="E11" s="566"/>
      <c r="F11" s="74">
        <f>E10/'Ввод исходных данных'!$G$45</f>
        <v>0.13177083776652099</v>
      </c>
      <c r="G11" s="539"/>
      <c r="H11" s="540"/>
      <c r="I11" s="567">
        <f t="shared" ref="I11:AR11" si="18">I9/I$6</f>
        <v>0.9612464189933928</v>
      </c>
      <c r="J11" s="553">
        <f t="shared" si="18"/>
        <v>0.99782274663401649</v>
      </c>
      <c r="K11" s="568">
        <f t="shared" si="18"/>
        <v>0.99796418058532121</v>
      </c>
      <c r="L11" s="567">
        <f t="shared" si="18"/>
        <v>0.95601787067430322</v>
      </c>
      <c r="M11" s="553">
        <f t="shared" si="18"/>
        <v>0.99692012239701888</v>
      </c>
      <c r="N11" s="568">
        <f t="shared" si="18"/>
        <v>0.99698494262676796</v>
      </c>
      <c r="O11" s="567">
        <f t="shared" si="18"/>
        <v>0.94983138699197678</v>
      </c>
      <c r="P11" s="553">
        <f t="shared" si="18"/>
        <v>0.99699682176168791</v>
      </c>
      <c r="Q11" s="568">
        <f t="shared" si="18"/>
        <v>0.99706189291107117</v>
      </c>
      <c r="R11" s="567">
        <f t="shared" si="18"/>
        <v>0.92067137159067602</v>
      </c>
      <c r="S11" s="553">
        <f t="shared" si="18"/>
        <v>0.99685501661682208</v>
      </c>
      <c r="T11" s="568">
        <f t="shared" si="18"/>
        <v>0.99725128606868452</v>
      </c>
      <c r="U11" s="567">
        <f t="shared" si="18"/>
        <v>0.68268074461252215</v>
      </c>
      <c r="V11" s="553">
        <f t="shared" si="18"/>
        <v>0.99723640779220246</v>
      </c>
      <c r="W11" s="568">
        <f t="shared" si="18"/>
        <v>0.99436877027213422</v>
      </c>
      <c r="X11" s="567">
        <f t="shared" si="18"/>
        <v>0.67598086710317951</v>
      </c>
      <c r="Y11" s="553">
        <f t="shared" si="18"/>
        <v>0.98521110440704651</v>
      </c>
      <c r="Z11" s="568">
        <f t="shared" si="18"/>
        <v>0.98521110440704651</v>
      </c>
      <c r="AA11" s="567">
        <f t="shared" si="18"/>
        <v>0.54666725266267091</v>
      </c>
      <c r="AB11" s="553">
        <f t="shared" si="18"/>
        <v>0.97855245574381733</v>
      </c>
      <c r="AC11" s="568">
        <f t="shared" si="18"/>
        <v>0.97855245574381733</v>
      </c>
      <c r="AD11" s="567">
        <f t="shared" si="18"/>
        <v>0.68244729872604737</v>
      </c>
      <c r="AE11" s="553">
        <f t="shared" si="18"/>
        <v>0.96631560036828279</v>
      </c>
      <c r="AF11" s="568">
        <f t="shared" si="18"/>
        <v>0.96631560036828279</v>
      </c>
      <c r="AG11" s="567">
        <f t="shared" si="18"/>
        <v>0.77832185383212715</v>
      </c>
      <c r="AH11" s="553">
        <f t="shared" si="18"/>
        <v>0.98125058591919001</v>
      </c>
      <c r="AI11" s="568">
        <f t="shared" si="18"/>
        <v>0.98125058591919001</v>
      </c>
      <c r="AJ11" s="567">
        <f t="shared" si="18"/>
        <v>0.92203177789973911</v>
      </c>
      <c r="AK11" s="553">
        <f t="shared" si="18"/>
        <v>0.99717249971069721</v>
      </c>
      <c r="AL11" s="568">
        <f t="shared" si="18"/>
        <v>0.99681407967707758</v>
      </c>
      <c r="AM11" s="567">
        <f t="shared" si="18"/>
        <v>0.94669960284734223</v>
      </c>
      <c r="AN11" s="553">
        <f t="shared" si="18"/>
        <v>0.99792271943280164</v>
      </c>
      <c r="AO11" s="568">
        <f t="shared" si="18"/>
        <v>0.99760535756161806</v>
      </c>
      <c r="AP11" s="552">
        <f t="shared" si="18"/>
        <v>0.95825840887877456</v>
      </c>
      <c r="AQ11" s="553">
        <f t="shared" si="18"/>
        <v>0.99807000007129743</v>
      </c>
      <c r="AR11" s="553">
        <f t="shared" si="18"/>
        <v>0.99817158931065397</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69" t="s">
        <v>1185</v>
      </c>
      <c r="B12" s="570" t="s">
        <v>842</v>
      </c>
      <c r="C12" s="571">
        <f>C35</f>
        <v>2113405.6907768468</v>
      </c>
      <c r="D12" s="572">
        <f>D35</f>
        <v>3244871.1810000003</v>
      </c>
      <c r="E12" s="573">
        <f>E35</f>
        <v>3301976.9153207769</v>
      </c>
      <c r="F12" s="74"/>
      <c r="G12" s="574" t="s">
        <v>1185</v>
      </c>
      <c r="H12" s="575" t="s">
        <v>842</v>
      </c>
      <c r="I12" s="576">
        <f t="shared" ref="I12:AR12" si="19">I35</f>
        <v>409290.64539784484</v>
      </c>
      <c r="J12" s="305">
        <f t="shared" si="19"/>
        <v>529900.01600000006</v>
      </c>
      <c r="K12" s="577">
        <f t="shared" si="19"/>
        <v>574571.81967441866</v>
      </c>
      <c r="L12" s="578">
        <f t="shared" si="19"/>
        <v>351956.64434321004</v>
      </c>
      <c r="M12" s="305">
        <f t="shared" si="19"/>
        <v>607296.50300000003</v>
      </c>
      <c r="N12" s="577">
        <f t="shared" si="19"/>
        <v>623002.44704310375</v>
      </c>
      <c r="O12" s="578">
        <f t="shared" si="19"/>
        <v>300130.139619914</v>
      </c>
      <c r="P12" s="305">
        <f t="shared" si="19"/>
        <v>333296.02900000004</v>
      </c>
      <c r="Q12" s="577">
        <f t="shared" si="19"/>
        <v>342956.78346376814</v>
      </c>
      <c r="R12" s="578">
        <f t="shared" si="19"/>
        <v>164631.04907986609</v>
      </c>
      <c r="S12" s="305">
        <f t="shared" si="19"/>
        <v>348382.46500000003</v>
      </c>
      <c r="T12" s="577">
        <f t="shared" si="19"/>
        <v>407974.20243421057</v>
      </c>
      <c r="U12" s="576">
        <f t="shared" si="19"/>
        <v>296.76347098995393</v>
      </c>
      <c r="V12" s="305">
        <f t="shared" si="19"/>
        <v>165943.818</v>
      </c>
      <c r="W12" s="577">
        <f t="shared" si="19"/>
        <v>55383.749257500014</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17448.272217494556</v>
      </c>
      <c r="AH12" s="305">
        <f t="shared" si="19"/>
        <v>0</v>
      </c>
      <c r="AI12" s="577">
        <f t="shared" si="19"/>
        <v>0</v>
      </c>
      <c r="AJ12" s="576">
        <f t="shared" si="19"/>
        <v>167994.09474536957</v>
      </c>
      <c r="AK12" s="305">
        <f t="shared" si="19"/>
        <v>256724.109</v>
      </c>
      <c r="AL12" s="577">
        <f t="shared" si="19"/>
        <v>216935.87092289719</v>
      </c>
      <c r="AM12" s="578">
        <f t="shared" si="19"/>
        <v>278578.94927574886</v>
      </c>
      <c r="AN12" s="305">
        <f t="shared" si="19"/>
        <v>496129.98500000004</v>
      </c>
      <c r="AO12" s="577">
        <f t="shared" si="19"/>
        <v>413190.32185410336</v>
      </c>
      <c r="AP12" s="579">
        <f t="shared" si="19"/>
        <v>374948.01436658564</v>
      </c>
      <c r="AQ12" s="305">
        <f t="shared" si="19"/>
        <v>507198.25600000005</v>
      </c>
      <c r="AR12" s="305">
        <f t="shared" si="19"/>
        <v>541744.26724458218</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58" t="s">
        <v>874</v>
      </c>
      <c r="B13" s="359" t="s">
        <v>1184</v>
      </c>
      <c r="C13" s="558">
        <f>C12*0.86/1000</f>
        <v>1817.5288940680882</v>
      </c>
      <c r="D13" s="559">
        <f>D36</f>
        <v>2790.0870000000004</v>
      </c>
      <c r="E13" s="560">
        <f>E36</f>
        <v>2839.7001471758681</v>
      </c>
      <c r="F13" s="74">
        <f>C13/'Ввод исходных данных'!$G$45</f>
        <v>6.4763945640772952E-2</v>
      </c>
      <c r="G13" s="539" t="s">
        <v>874</v>
      </c>
      <c r="H13" s="540" t="s">
        <v>1184</v>
      </c>
      <c r="I13" s="561">
        <f>I12*0.86/1000</f>
        <v>351.98995504214656</v>
      </c>
      <c r="J13" s="286">
        <f>J36</f>
        <v>455.63200000000001</v>
      </c>
      <c r="K13" s="562">
        <f>K36</f>
        <v>494.04283720930238</v>
      </c>
      <c r="L13" s="561">
        <f>L12*0.86/1000</f>
        <v>302.68271413516061</v>
      </c>
      <c r="M13" s="286">
        <f>M36</f>
        <v>522.18100000000004</v>
      </c>
      <c r="N13" s="562">
        <f>N36</f>
        <v>535.68568103448297</v>
      </c>
      <c r="O13" s="561">
        <f>O12*0.86/1000</f>
        <v>258.11192007312604</v>
      </c>
      <c r="P13" s="286">
        <f>P36</f>
        <v>286.58300000000003</v>
      </c>
      <c r="Q13" s="562">
        <f>Q36</f>
        <v>294.88975362318843</v>
      </c>
      <c r="R13" s="561">
        <f>R12*0.86/1000</f>
        <v>141.58270220868485</v>
      </c>
      <c r="S13" s="286">
        <f>S36</f>
        <v>299.55500000000001</v>
      </c>
      <c r="T13" s="562">
        <f>T36</f>
        <v>350.7946710526316</v>
      </c>
      <c r="U13" s="561">
        <f>U12*0.86/1000</f>
        <v>0.25521658505136036</v>
      </c>
      <c r="V13" s="286">
        <f>V36</f>
        <v>142.68600000000001</v>
      </c>
      <c r="W13" s="562">
        <f>W36</f>
        <v>47.621452500000011</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15.005514107045318</v>
      </c>
      <c r="AH13" s="286">
        <f>AH36</f>
        <v>0</v>
      </c>
      <c r="AI13" s="562">
        <f>AI36</f>
        <v>0</v>
      </c>
      <c r="AJ13" s="561">
        <f>AJ12*0.86/1000</f>
        <v>144.47492148101784</v>
      </c>
      <c r="AK13" s="286">
        <f>AK36</f>
        <v>220.74299999999999</v>
      </c>
      <c r="AL13" s="562">
        <f>AL36</f>
        <v>186.53127336448597</v>
      </c>
      <c r="AM13" s="561">
        <f>AM12*0.86/1000</f>
        <v>239.57789637714404</v>
      </c>
      <c r="AN13" s="286">
        <f>AN36</f>
        <v>426.59500000000003</v>
      </c>
      <c r="AO13" s="562">
        <f>AO36</f>
        <v>355.27972644376899</v>
      </c>
      <c r="AP13" s="563">
        <f>AP12*0.86/1000</f>
        <v>322.45529235526368</v>
      </c>
      <c r="AQ13" s="286">
        <f>AQ36</f>
        <v>436.11200000000002</v>
      </c>
      <c r="AR13" s="286">
        <f>AR36</f>
        <v>465.81622291021682</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58" t="s">
        <v>874</v>
      </c>
      <c r="B14" s="359" t="s">
        <v>1181</v>
      </c>
      <c r="C14" s="564">
        <f>C12/$C$6</f>
        <v>0.7023816364872385</v>
      </c>
      <c r="D14" s="565">
        <f>D12/$D$6</f>
        <v>0.76207205997576211</v>
      </c>
      <c r="E14" s="566"/>
      <c r="F14" s="74">
        <f>E13/'Ввод исходных данных'!$G$45</f>
        <v>0.10118693934826835</v>
      </c>
      <c r="G14" s="539"/>
      <c r="H14" s="540"/>
      <c r="I14" s="567">
        <f t="shared" ref="I14:AR14" si="20">I12/I$6</f>
        <v>0.8531223473741002</v>
      </c>
      <c r="J14" s="553">
        <f t="shared" si="20"/>
        <v>0.82409042390766907</v>
      </c>
      <c r="K14" s="568">
        <f t="shared" si="20"/>
        <v>0.83551747544323385</v>
      </c>
      <c r="L14" s="567">
        <f t="shared" si="20"/>
        <v>0.84370245384692433</v>
      </c>
      <c r="M14" s="553">
        <f t="shared" si="20"/>
        <v>0.83128839909265329</v>
      </c>
      <c r="N14" s="568">
        <f t="shared" si="20"/>
        <v>0.83483916511061884</v>
      </c>
      <c r="O14" s="567">
        <f t="shared" si="20"/>
        <v>0.80985891051308667</v>
      </c>
      <c r="P14" s="553">
        <f t="shared" si="20"/>
        <v>0.76408197038826831</v>
      </c>
      <c r="Q14" s="568">
        <f t="shared" si="20"/>
        <v>0.76919370739781856</v>
      </c>
      <c r="R14" s="567">
        <f t="shared" si="20"/>
        <v>0.70553673469858225</v>
      </c>
      <c r="S14" s="553">
        <f t="shared" si="20"/>
        <v>0.84281312570427214</v>
      </c>
      <c r="T14" s="568">
        <f t="shared" si="20"/>
        <v>0.86261874911402059</v>
      </c>
      <c r="U14" s="567">
        <f t="shared" si="20"/>
        <v>5.262980940463631E-3</v>
      </c>
      <c r="V14" s="553">
        <f t="shared" si="20"/>
        <v>0.76433507059494954</v>
      </c>
      <c r="W14" s="568">
        <f t="shared" si="20"/>
        <v>0.51979769209916882</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0.21684136605758239</v>
      </c>
      <c r="AH14" s="553">
        <f t="shared" si="20"/>
        <v>0</v>
      </c>
      <c r="AI14" s="568">
        <f t="shared" si="20"/>
        <v>0</v>
      </c>
      <c r="AJ14" s="567">
        <f t="shared" si="20"/>
        <v>0.70449725821341014</v>
      </c>
      <c r="AK14" s="553">
        <f t="shared" si="20"/>
        <v>0.72588749246849349</v>
      </c>
      <c r="AL14" s="568">
        <f t="shared" si="20"/>
        <v>0.69114039994414467</v>
      </c>
      <c r="AM14" s="567">
        <f t="shared" si="20"/>
        <v>0.80215201873338793</v>
      </c>
      <c r="AN14" s="553">
        <f t="shared" si="20"/>
        <v>0.79277013588069034</v>
      </c>
      <c r="AO14" s="568">
        <f t="shared" si="20"/>
        <v>0.76111006141577542</v>
      </c>
      <c r="AP14" s="552">
        <f t="shared" si="20"/>
        <v>0.84179766717015303</v>
      </c>
      <c r="AQ14" s="553">
        <f t="shared" si="20"/>
        <v>0.81574383159839658</v>
      </c>
      <c r="AR14" s="553">
        <f t="shared" si="20"/>
        <v>0.82544250760159266</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69" t="s">
        <v>999</v>
      </c>
      <c r="B15" s="570" t="s">
        <v>842</v>
      </c>
      <c r="C15" s="580">
        <f>C85</f>
        <v>677176.75529517012</v>
      </c>
      <c r="D15" s="581">
        <f>D85</f>
        <v>998027.28700000001</v>
      </c>
      <c r="E15" s="582">
        <f>D85</f>
        <v>998027.28700000001</v>
      </c>
      <c r="F15" s="74">
        <f>E13/C13-1</f>
        <v>0.56239615031368362</v>
      </c>
      <c r="G15" s="574" t="s">
        <v>999</v>
      </c>
      <c r="H15" s="575" t="s">
        <v>842</v>
      </c>
      <c r="I15" s="576">
        <f t="shared" ref="I15:J15" si="21">I85</f>
        <v>51873.18230769231</v>
      </c>
      <c r="J15" s="305">
        <f t="shared" si="21"/>
        <v>111711.96500000001</v>
      </c>
      <c r="K15" s="583">
        <f>J15</f>
        <v>111711.96500000001</v>
      </c>
      <c r="L15" s="576">
        <f>K85</f>
        <v>46853.196923076925</v>
      </c>
      <c r="M15" s="305">
        <f>L85</f>
        <v>121002.00900000001</v>
      </c>
      <c r="N15" s="584">
        <f>M15</f>
        <v>121002.00900000001</v>
      </c>
      <c r="O15" s="578">
        <f>M85</f>
        <v>51873.18230769231</v>
      </c>
      <c r="P15" s="306">
        <f>N85</f>
        <v>101598.51699999999</v>
      </c>
      <c r="Q15" s="583">
        <f>P15</f>
        <v>101598.51699999999</v>
      </c>
      <c r="R15" s="578">
        <f>O85</f>
        <v>50199.853846153848</v>
      </c>
      <c r="S15" s="306">
        <f>P85</f>
        <v>63674.25</v>
      </c>
      <c r="T15" s="577">
        <f>S15</f>
        <v>63674.25</v>
      </c>
      <c r="U15" s="576">
        <f>Q85</f>
        <v>38197.525153846153</v>
      </c>
      <c r="V15" s="305">
        <f>R85</f>
        <v>50564.914000000004</v>
      </c>
      <c r="W15" s="583">
        <f>V15</f>
        <v>50564.914000000004</v>
      </c>
      <c r="X15" s="576">
        <f>S85</f>
        <v>36965.346923076919</v>
      </c>
      <c r="Y15" s="305">
        <f>T85</f>
        <v>46632.811000000002</v>
      </c>
      <c r="Z15" s="583">
        <f>Y15</f>
        <v>46632.811000000002</v>
      </c>
      <c r="AA15" s="576">
        <f>U85</f>
        <v>20947.029923076923</v>
      </c>
      <c r="AB15" s="305">
        <f>V85</f>
        <v>59313</v>
      </c>
      <c r="AC15" s="583">
        <f>AB15</f>
        <v>59313</v>
      </c>
      <c r="AD15" s="576">
        <f>W85</f>
        <v>38197.525153846153</v>
      </c>
      <c r="AE15" s="305">
        <f>X85</f>
        <v>43031</v>
      </c>
      <c r="AF15" s="577">
        <f>AE15</f>
        <v>43031</v>
      </c>
      <c r="AG15" s="578">
        <f>Y85</f>
        <v>45179.868461538455</v>
      </c>
      <c r="AH15" s="306">
        <f>Z85</f>
        <v>62802</v>
      </c>
      <c r="AI15" s="583">
        <f>AH15</f>
        <v>62802</v>
      </c>
      <c r="AJ15" s="578">
        <f>AA85</f>
        <v>51873.18230769231</v>
      </c>
      <c r="AK15" s="306">
        <f>AB85</f>
        <v>95945.173999999999</v>
      </c>
      <c r="AL15" s="583">
        <f>AK15</f>
        <v>95945.173999999999</v>
      </c>
      <c r="AM15" s="578">
        <f>AC85</f>
        <v>50199.853846153848</v>
      </c>
      <c r="AN15" s="306">
        <f>AD85</f>
        <v>128388.22200000001</v>
      </c>
      <c r="AO15" s="583">
        <f>AN15</f>
        <v>128388.22200000001</v>
      </c>
      <c r="AP15" s="585">
        <f>AE85</f>
        <v>51873.18230769231</v>
      </c>
      <c r="AQ15" s="305">
        <f>AF85</f>
        <v>113363.42499999999</v>
      </c>
      <c r="AR15" s="306">
        <f>AQ15</f>
        <v>113363.42499999999</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58" t="s">
        <v>874</v>
      </c>
      <c r="B16" s="359" t="s">
        <v>1184</v>
      </c>
      <c r="C16" s="558">
        <f>C15*0.86/1000</f>
        <v>582.37200955384628</v>
      </c>
      <c r="D16" s="664">
        <f>D86</f>
        <v>858.149</v>
      </c>
      <c r="E16" s="1268">
        <f>D86</f>
        <v>858.149</v>
      </c>
      <c r="F16" s="74"/>
      <c r="G16" s="539" t="s">
        <v>874</v>
      </c>
      <c r="H16" s="540" t="s">
        <v>1184</v>
      </c>
      <c r="I16" s="561">
        <f>I15*0.86/1000</f>
        <v>44.610936784615383</v>
      </c>
      <c r="J16" s="95">
        <f>J86</f>
        <v>96.055000000000007</v>
      </c>
      <c r="K16" s="586">
        <f>J16</f>
        <v>96.055000000000007</v>
      </c>
      <c r="L16" s="561">
        <f>L15*0.86/1000</f>
        <v>40.29374935384616</v>
      </c>
      <c r="M16" s="95">
        <f>L86</f>
        <v>104.04300000000001</v>
      </c>
      <c r="N16" s="587">
        <f>M16</f>
        <v>104.04300000000001</v>
      </c>
      <c r="O16" s="561">
        <f>O15*0.86/1000</f>
        <v>44.610936784615383</v>
      </c>
      <c r="P16" s="95">
        <f>N86</f>
        <v>87.358999999999995</v>
      </c>
      <c r="Q16" s="586">
        <f>P16</f>
        <v>87.358999999999995</v>
      </c>
      <c r="R16" s="561">
        <f>R15*0.86/1000</f>
        <v>43.171874307692306</v>
      </c>
      <c r="S16" s="95">
        <f>P86</f>
        <v>54.75</v>
      </c>
      <c r="T16" s="586">
        <f>S16</f>
        <v>54.75</v>
      </c>
      <c r="U16" s="561">
        <f>U15*0.86/1000</f>
        <v>32.849871632307689</v>
      </c>
      <c r="V16" s="95">
        <f>R86</f>
        <v>43.478000000000002</v>
      </c>
      <c r="W16" s="586">
        <f>V16</f>
        <v>43.478000000000002</v>
      </c>
      <c r="X16" s="561">
        <f>X15*0.86/1000</f>
        <v>31.790198353846151</v>
      </c>
      <c r="Y16" s="95">
        <f>T86</f>
        <v>40.097000000000001</v>
      </c>
      <c r="Z16" s="586">
        <f>Y16</f>
        <v>40.097000000000001</v>
      </c>
      <c r="AA16" s="561">
        <f>AA15*0.86/1000</f>
        <v>18.014445733846156</v>
      </c>
      <c r="AB16" s="95">
        <f>V86</f>
        <v>51</v>
      </c>
      <c r="AC16" s="586">
        <f>AB16</f>
        <v>51</v>
      </c>
      <c r="AD16" s="561">
        <f>AD15*0.86/1000</f>
        <v>32.849871632307689</v>
      </c>
      <c r="AE16" s="95">
        <f>X86</f>
        <v>37</v>
      </c>
      <c r="AF16" s="586">
        <f>AE16</f>
        <v>37</v>
      </c>
      <c r="AG16" s="561">
        <f>AG15*0.86/1000</f>
        <v>38.854686876923068</v>
      </c>
      <c r="AH16" s="95">
        <f>Z86</f>
        <v>54</v>
      </c>
      <c r="AI16" s="586">
        <f>AH16</f>
        <v>54</v>
      </c>
      <c r="AJ16" s="561">
        <f>AJ15*0.86/1000</f>
        <v>44.610936784615383</v>
      </c>
      <c r="AK16" s="95">
        <f>AB86</f>
        <v>82.498000000000005</v>
      </c>
      <c r="AL16" s="586">
        <f>AK16</f>
        <v>82.498000000000005</v>
      </c>
      <c r="AM16" s="561">
        <f>AM15*0.86/1000</f>
        <v>43.171874307692306</v>
      </c>
      <c r="AN16" s="95">
        <f>AD86</f>
        <v>110.39400000000001</v>
      </c>
      <c r="AO16" s="586">
        <f>AN16</f>
        <v>110.39400000000001</v>
      </c>
      <c r="AP16" s="563">
        <f>AP15*0.86/1000</f>
        <v>44.610936784615383</v>
      </c>
      <c r="AQ16" s="95">
        <f>AF86</f>
        <v>97.474999999999994</v>
      </c>
      <c r="AR16" s="95">
        <f>AQ16</f>
        <v>97.474999999999994</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5" t="s">
        <v>874</v>
      </c>
      <c r="B17" s="386" t="s">
        <v>1181</v>
      </c>
      <c r="C17" s="588">
        <f>C15/$C$6</f>
        <v>0.22505689260281356</v>
      </c>
      <c r="D17" s="589">
        <f>D15/$D$6</f>
        <v>0.23439103375491166</v>
      </c>
      <c r="E17" s="590"/>
      <c r="F17" s="74"/>
      <c r="G17" s="544"/>
      <c r="H17" s="545"/>
      <c r="I17" s="546">
        <f t="shared" ref="I17:AR17" si="22">I15/I$6</f>
        <v>0.1081240716192927</v>
      </c>
      <c r="J17" s="547">
        <f t="shared" si="22"/>
        <v>0.17373232272634748</v>
      </c>
      <c r="K17" s="548">
        <f t="shared" si="22"/>
        <v>0.16244670514208742</v>
      </c>
      <c r="L17" s="546">
        <f t="shared" si="22"/>
        <v>0.11231541682737886</v>
      </c>
      <c r="M17" s="547">
        <f t="shared" si="22"/>
        <v>0.1656317233043656</v>
      </c>
      <c r="N17" s="591">
        <f t="shared" si="22"/>
        <v>0.16214577751614917</v>
      </c>
      <c r="O17" s="546">
        <f t="shared" si="22"/>
        <v>0.13997247647889011</v>
      </c>
      <c r="P17" s="547">
        <f t="shared" si="22"/>
        <v>0.23291485137341963</v>
      </c>
      <c r="Q17" s="548">
        <f t="shared" si="22"/>
        <v>0.22786818551325252</v>
      </c>
      <c r="R17" s="546">
        <f t="shared" si="22"/>
        <v>0.21513463689209372</v>
      </c>
      <c r="S17" s="547">
        <f t="shared" si="22"/>
        <v>0.15404189091254994</v>
      </c>
      <c r="T17" s="548">
        <f t="shared" si="22"/>
        <v>0.13463253695466398</v>
      </c>
      <c r="U17" s="546">
        <f t="shared" si="22"/>
        <v>0.67741776367205853</v>
      </c>
      <c r="V17" s="547">
        <f t="shared" si="22"/>
        <v>0.23290133719725284</v>
      </c>
      <c r="W17" s="548">
        <f t="shared" si="22"/>
        <v>0.4745710781729654</v>
      </c>
      <c r="X17" s="546">
        <f t="shared" si="22"/>
        <v>0.67598086710317951</v>
      </c>
      <c r="Y17" s="547">
        <f t="shared" si="22"/>
        <v>0.98521110440704651</v>
      </c>
      <c r="Z17" s="548">
        <f t="shared" si="22"/>
        <v>0.98521110440704651</v>
      </c>
      <c r="AA17" s="546">
        <f t="shared" si="22"/>
        <v>0.54666725266267091</v>
      </c>
      <c r="AB17" s="547">
        <f t="shared" si="22"/>
        <v>0.97855245574381733</v>
      </c>
      <c r="AC17" s="548">
        <f t="shared" si="22"/>
        <v>0.97855245574381733</v>
      </c>
      <c r="AD17" s="546">
        <f t="shared" si="22"/>
        <v>0.68244729872604737</v>
      </c>
      <c r="AE17" s="547">
        <f t="shared" si="22"/>
        <v>0.96631560036828279</v>
      </c>
      <c r="AF17" s="548">
        <f t="shared" si="22"/>
        <v>0.96631560036828279</v>
      </c>
      <c r="AG17" s="546">
        <f t="shared" si="22"/>
        <v>0.56148048777454485</v>
      </c>
      <c r="AH17" s="547">
        <f t="shared" si="22"/>
        <v>0.98125058591919001</v>
      </c>
      <c r="AI17" s="548">
        <f t="shared" si="22"/>
        <v>0.98125058591919001</v>
      </c>
      <c r="AJ17" s="546">
        <f t="shared" si="22"/>
        <v>0.21753451968632898</v>
      </c>
      <c r="AK17" s="547">
        <f t="shared" si="22"/>
        <v>0.27128500724220372</v>
      </c>
      <c r="AL17" s="548">
        <f t="shared" si="22"/>
        <v>0.30567367973293291</v>
      </c>
      <c r="AM17" s="546">
        <f t="shared" si="22"/>
        <v>0.14454758411395438</v>
      </c>
      <c r="AN17" s="547">
        <f t="shared" si="22"/>
        <v>0.20515258355211133</v>
      </c>
      <c r="AO17" s="548">
        <f t="shared" si="22"/>
        <v>0.23649529614584264</v>
      </c>
      <c r="AP17" s="549">
        <f t="shared" si="22"/>
        <v>0.11646074170862152</v>
      </c>
      <c r="AQ17" s="550">
        <f t="shared" si="22"/>
        <v>0.18232616847290076</v>
      </c>
      <c r="AR17" s="550">
        <f t="shared" si="22"/>
        <v>0.17272908170906145</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2" t="s">
        <v>1188</v>
      </c>
      <c r="B18" s="592" t="s">
        <v>842</v>
      </c>
      <c r="C18" s="593">
        <f>C100</f>
        <v>218331.2</v>
      </c>
      <c r="D18" s="594">
        <f>D100</f>
        <v>15060</v>
      </c>
      <c r="E18" s="595">
        <f>D100</f>
        <v>15060</v>
      </c>
      <c r="F18" s="74"/>
      <c r="G18" s="527" t="s">
        <v>1186</v>
      </c>
      <c r="H18" s="528" t="s">
        <v>842</v>
      </c>
      <c r="I18" s="327">
        <f>I100</f>
        <v>18592.266666666666</v>
      </c>
      <c r="J18" s="596">
        <f>J100</f>
        <v>1400</v>
      </c>
      <c r="K18" s="597">
        <f>J18</f>
        <v>1400</v>
      </c>
      <c r="L18" s="327">
        <f>K100</f>
        <v>18347.466666666667</v>
      </c>
      <c r="M18" s="596">
        <f>L100</f>
        <v>2250.0000000000005</v>
      </c>
      <c r="N18" s="597">
        <f>M18</f>
        <v>2250.0000000000005</v>
      </c>
      <c r="O18" s="327">
        <f>M100</f>
        <v>18592.266666666666</v>
      </c>
      <c r="P18" s="596">
        <f>N100</f>
        <v>1310.0000000000002</v>
      </c>
      <c r="Q18" s="597">
        <f>P18</f>
        <v>1310.0000000000002</v>
      </c>
      <c r="R18" s="327">
        <f>O100</f>
        <v>18510.666666666664</v>
      </c>
      <c r="S18" s="596">
        <f>P100</f>
        <v>1300</v>
      </c>
      <c r="T18" s="597">
        <f>S18</f>
        <v>1300</v>
      </c>
      <c r="U18" s="327">
        <f>Q100</f>
        <v>17892.666666666664</v>
      </c>
      <c r="V18" s="596">
        <f>R100</f>
        <v>600.00000000000011</v>
      </c>
      <c r="W18" s="597">
        <f>V18</f>
        <v>600.00000000000011</v>
      </c>
      <c r="X18" s="327">
        <f>S100</f>
        <v>17718.666666666664</v>
      </c>
      <c r="Y18" s="596">
        <f>T100</f>
        <v>700.00000000000011</v>
      </c>
      <c r="Z18" s="597">
        <f>Y18</f>
        <v>700.00000000000011</v>
      </c>
      <c r="AA18" s="327">
        <f>U100</f>
        <v>17370.666666666664</v>
      </c>
      <c r="AB18" s="596">
        <f>V100</f>
        <v>1300</v>
      </c>
      <c r="AC18" s="597">
        <f>AB18</f>
        <v>1300</v>
      </c>
      <c r="AD18" s="327">
        <f>W100</f>
        <v>17773.866666666665</v>
      </c>
      <c r="AE18" s="596">
        <f>X100</f>
        <v>1500.0000000000002</v>
      </c>
      <c r="AF18" s="597">
        <f>AE18</f>
        <v>1500.0000000000002</v>
      </c>
      <c r="AG18" s="327">
        <f>Y100</f>
        <v>17837.466666666667</v>
      </c>
      <c r="AH18" s="596">
        <f>Z100</f>
        <v>1200.0000000000002</v>
      </c>
      <c r="AI18" s="597">
        <f>AH18</f>
        <v>1200.0000000000002</v>
      </c>
      <c r="AJ18" s="327">
        <f>AA100</f>
        <v>18592.266666666666</v>
      </c>
      <c r="AK18" s="596">
        <f>AB100</f>
        <v>1000</v>
      </c>
      <c r="AL18" s="597">
        <f>AK18</f>
        <v>1000</v>
      </c>
      <c r="AM18" s="327">
        <f>AC100</f>
        <v>18510.666666666664</v>
      </c>
      <c r="AN18" s="596">
        <f>AD100</f>
        <v>1300</v>
      </c>
      <c r="AO18" s="597">
        <f>AN18</f>
        <v>1300</v>
      </c>
      <c r="AP18" s="327">
        <f>AE100</f>
        <v>18592.266666666666</v>
      </c>
      <c r="AQ18" s="596">
        <f>AF100</f>
        <v>1200</v>
      </c>
      <c r="AR18" s="597">
        <f>AQ18</f>
        <v>1200</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5" t="s">
        <v>874</v>
      </c>
      <c r="B19" s="598" t="s">
        <v>1181</v>
      </c>
      <c r="C19" s="588">
        <f>C18/$C$6</f>
        <v>7.2561470909947925E-2</v>
      </c>
      <c r="D19" s="589">
        <f>D18/$D$6</f>
        <v>3.5369062693262508E-3</v>
      </c>
      <c r="E19" s="599">
        <f>E18/$E$6</f>
        <v>3.4900987085893787E-3</v>
      </c>
      <c r="F19" s="74"/>
      <c r="G19" s="600"/>
      <c r="H19" s="545"/>
      <c r="I19" s="546">
        <f>I18/$C$6</f>
        <v>6.1790628956526952E-3</v>
      </c>
      <c r="J19" s="601"/>
      <c r="K19" s="602"/>
      <c r="L19" s="546">
        <f>L18/$C$6</f>
        <v>6.0977046285852531E-3</v>
      </c>
      <c r="M19" s="601"/>
      <c r="N19" s="602"/>
      <c r="O19" s="546">
        <f>O18/$C$6</f>
        <v>6.1790628956526952E-3</v>
      </c>
      <c r="P19" s="601"/>
      <c r="Q19" s="602"/>
      <c r="R19" s="546">
        <f>R18/$C$6</f>
        <v>6.15194347329688E-3</v>
      </c>
      <c r="S19" s="601"/>
      <c r="T19" s="602"/>
      <c r="U19" s="546">
        <f>U18/$C$6</f>
        <v>5.9465537304550517E-3</v>
      </c>
      <c r="V19" s="601"/>
      <c r="W19" s="602"/>
      <c r="X19" s="546">
        <f>X18/$C$6</f>
        <v>5.8887255504316239E-3</v>
      </c>
      <c r="Y19" s="601"/>
      <c r="Z19" s="602"/>
      <c r="AA19" s="546">
        <f>AA18/$C$6</f>
        <v>5.7730691903847692E-3</v>
      </c>
      <c r="AB19" s="601"/>
      <c r="AC19" s="602"/>
      <c r="AD19" s="546">
        <f>AD18/$C$6</f>
        <v>5.9070710420252633E-3</v>
      </c>
      <c r="AE19" s="601"/>
      <c r="AF19" s="602"/>
      <c r="AG19" s="546">
        <f>AG18/$C$6</f>
        <v>5.9282082388614141E-3</v>
      </c>
      <c r="AH19" s="601"/>
      <c r="AI19" s="602"/>
      <c r="AJ19" s="546">
        <f>AJ18/$C$6</f>
        <v>6.1790628956526952E-3</v>
      </c>
      <c r="AK19" s="601"/>
      <c r="AL19" s="602"/>
      <c r="AM19" s="546">
        <f>AM18/$C$6</f>
        <v>6.15194347329688E-3</v>
      </c>
      <c r="AN19" s="601"/>
      <c r="AO19" s="602"/>
      <c r="AP19" s="546">
        <f>AP18/$C$6</f>
        <v>6.1790628956526952E-3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3" t="s">
        <v>1187</v>
      </c>
      <c r="B20" s="604" t="s">
        <v>842</v>
      </c>
      <c r="C20" s="605"/>
      <c r="D20" s="572">
        <f>D6-C6</f>
        <v>1249044.8219279833</v>
      </c>
      <c r="E20" s="606">
        <f>E6-C6</f>
        <v>1306150.5562487599</v>
      </c>
      <c r="F20" s="74"/>
      <c r="G20" s="344" t="s">
        <v>1187</v>
      </c>
      <c r="H20" s="326" t="s">
        <v>842</v>
      </c>
      <c r="I20" s="373"/>
      <c r="J20" s="607">
        <f>J6-I6</f>
        <v>163255.88662779622</v>
      </c>
      <c r="K20" s="608">
        <f>K6-I6</f>
        <v>207927.69030221482</v>
      </c>
      <c r="L20" s="373"/>
      <c r="M20" s="607">
        <f>M6-L6</f>
        <v>313391.20406704635</v>
      </c>
      <c r="N20" s="608">
        <f>N6-L6</f>
        <v>329097.14811015007</v>
      </c>
      <c r="O20" s="373"/>
      <c r="P20" s="607">
        <f>P6-O6</f>
        <v>65608.957405727066</v>
      </c>
      <c r="Q20" s="608">
        <f>Q6-O6</f>
        <v>75269.711869495164</v>
      </c>
      <c r="R20" s="373"/>
      <c r="S20" s="607">
        <f>S6-R6</f>
        <v>180015.14540731342</v>
      </c>
      <c r="T20" s="609">
        <f>T6-R6</f>
        <v>239606.88284152397</v>
      </c>
      <c r="U20" s="373"/>
      <c r="V20" s="610">
        <f>V6-U6</f>
        <v>160721.77670849726</v>
      </c>
      <c r="W20" s="608">
        <f>W6-U6</f>
        <v>50161.707965997244</v>
      </c>
      <c r="X20" s="611"/>
      <c r="Y20" s="607">
        <f>Y6-X6</f>
        <v>-7351.2025897435815</v>
      </c>
      <c r="Z20" s="608">
        <f>Z6-X6</f>
        <v>-7351.2025897435815</v>
      </c>
      <c r="AA20" s="373"/>
      <c r="AB20" s="607">
        <f>AB6-AA6</f>
        <v>22295.303410256412</v>
      </c>
      <c r="AC20" s="612">
        <f>AC6-AA6</f>
        <v>22295.303410256412</v>
      </c>
      <c r="AD20" s="373"/>
      <c r="AE20" s="607">
        <f>AE6-AD6</f>
        <v>-11440.391820512814</v>
      </c>
      <c r="AF20" s="612">
        <f>AF6-AD6</f>
        <v>-11440.391820512814</v>
      </c>
      <c r="AG20" s="373"/>
      <c r="AH20" s="610">
        <f>AH6-AG6</f>
        <v>-16463.607345699682</v>
      </c>
      <c r="AI20" s="608">
        <f>AI6-AG6</f>
        <v>-16463.607345699682</v>
      </c>
      <c r="AJ20" s="373"/>
      <c r="AK20" s="610">
        <f>AK6-AJ6</f>
        <v>115209.73928027146</v>
      </c>
      <c r="AL20" s="608">
        <f>AL6-AJ6</f>
        <v>75421.501203168649</v>
      </c>
      <c r="AM20" s="374"/>
      <c r="AN20" s="607">
        <f>AN6-AM6</f>
        <v>278528.73721143068</v>
      </c>
      <c r="AO20" s="608">
        <f>AO6-AM6</f>
        <v>195589.07406553405</v>
      </c>
      <c r="AP20" s="373"/>
      <c r="AQ20" s="607">
        <f>AQ6-AP6</f>
        <v>176348.21765905549</v>
      </c>
      <c r="AR20" s="608">
        <f>AR6-AP6</f>
        <v>210894.2289036375</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58" t="s">
        <v>874</v>
      </c>
      <c r="B21" s="359" t="s">
        <v>1180</v>
      </c>
      <c r="C21" s="378"/>
      <c r="D21" s="613">
        <f>D20*0.123/1000</f>
        <v>153.63251309714195</v>
      </c>
      <c r="E21" s="613">
        <f>E20*0.123/1000</f>
        <v>160.65651841859747</v>
      </c>
      <c r="F21" s="74"/>
      <c r="G21" s="539" t="s">
        <v>874</v>
      </c>
      <c r="H21" s="540" t="s">
        <v>1180</v>
      </c>
      <c r="I21" s="614"/>
      <c r="J21" s="313">
        <f>J20*0.123/1000</f>
        <v>20.080474055218936</v>
      </c>
      <c r="K21" s="615">
        <f>K20*0.123/1000</f>
        <v>25.575105907172421</v>
      </c>
      <c r="L21" s="614"/>
      <c r="M21" s="313">
        <f>M20*0.123/1000</f>
        <v>38.547118100246699</v>
      </c>
      <c r="N21" s="615">
        <f>N20*0.123/1000</f>
        <v>40.478949217548454</v>
      </c>
      <c r="O21" s="614"/>
      <c r="P21" s="313">
        <f>P20*0.123/1000</f>
        <v>8.069901760904429</v>
      </c>
      <c r="Q21" s="615">
        <f>Q20*0.123/1000</f>
        <v>9.2581745599479053</v>
      </c>
      <c r="R21" s="614"/>
      <c r="S21" s="313">
        <f>S20*0.123/1000</f>
        <v>22.141862885099552</v>
      </c>
      <c r="T21" s="616">
        <f>T20*0.123/1000</f>
        <v>29.471646589507447</v>
      </c>
      <c r="U21" s="614"/>
      <c r="V21" s="313">
        <f>V20*0.123/1000</f>
        <v>19.768778535145163</v>
      </c>
      <c r="W21" s="615">
        <f>W20*0.123/1000</f>
        <v>6.1698900798176606</v>
      </c>
      <c r="X21" s="617"/>
      <c r="Y21" s="313">
        <f>Y20*0.123/1000</f>
        <v>-0.90419791853846054</v>
      </c>
      <c r="Z21" s="615">
        <f>Z20*0.123/1000</f>
        <v>-0.90419791853846054</v>
      </c>
      <c r="AA21" s="614"/>
      <c r="AB21" s="313">
        <f>AB20*0.123/1000</f>
        <v>2.7423223194615387</v>
      </c>
      <c r="AC21" s="615">
        <f>AC20*0.123/1000</f>
        <v>2.7423223194615387</v>
      </c>
      <c r="AD21" s="614"/>
      <c r="AE21" s="313">
        <f>AE20*0.123/1000</f>
        <v>-1.4071681939230762</v>
      </c>
      <c r="AF21" s="615">
        <f>AF20*0.123/1000</f>
        <v>-1.4071681939230762</v>
      </c>
      <c r="AG21" s="614"/>
      <c r="AH21" s="313">
        <f>AH20*0.123/1000</f>
        <v>-2.025023703521061</v>
      </c>
      <c r="AI21" s="615">
        <f>AI20*0.123/1000</f>
        <v>-2.025023703521061</v>
      </c>
      <c r="AJ21" s="614"/>
      <c r="AK21" s="313">
        <f>AK20*0.123/1000</f>
        <v>14.170797931473389</v>
      </c>
      <c r="AL21" s="615">
        <f>AL20*0.123/1000</f>
        <v>9.2768446479897424</v>
      </c>
      <c r="AM21" s="618"/>
      <c r="AN21" s="313">
        <f>AN20*0.123/1000</f>
        <v>34.259034677005971</v>
      </c>
      <c r="AO21" s="615">
        <f>AO20*0.123/1000</f>
        <v>24.057456110060688</v>
      </c>
      <c r="AP21" s="614"/>
      <c r="AQ21" s="313">
        <f>AQ20*0.123/1000</f>
        <v>21.690830772063826</v>
      </c>
      <c r="AR21" s="619">
        <f>AR20*0.123/1000</f>
        <v>25.939990155147409</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5" t="s">
        <v>874</v>
      </c>
      <c r="B22" s="359" t="s">
        <v>1181</v>
      </c>
      <c r="C22" s="620"/>
      <c r="D22" s="621">
        <f>(D20/C6)*100</f>
        <v>41.511487827460499</v>
      </c>
      <c r="E22" s="621">
        <f>(E20/C6)*100</f>
        <v>43.409373278421356</v>
      </c>
      <c r="F22" s="74"/>
      <c r="G22" s="544" t="s">
        <v>874</v>
      </c>
      <c r="H22" s="545" t="s">
        <v>1181</v>
      </c>
      <c r="I22" s="622"/>
      <c r="J22" s="623">
        <f>(J20/I6)*100</f>
        <v>34.028934398723706</v>
      </c>
      <c r="K22" s="624">
        <f>(K20/I6)*100</f>
        <v>43.340291606780632</v>
      </c>
      <c r="L22" s="622"/>
      <c r="M22" s="623">
        <f>(M20/L6)*100</f>
        <v>75.125425854319488</v>
      </c>
      <c r="N22" s="624">
        <f>(N20/L6)*100</f>
        <v>78.890418998255512</v>
      </c>
      <c r="O22" s="622"/>
      <c r="P22" s="623">
        <f>(P20/O6)*100</f>
        <v>17.703653099215806</v>
      </c>
      <c r="Q22" s="624">
        <f>(Q20/O6)*100</f>
        <v>20.310471626228729</v>
      </c>
      <c r="R22" s="622"/>
      <c r="S22" s="623">
        <f>(S20/R6)*100</f>
        <v>77.146624890516492</v>
      </c>
      <c r="T22" s="625">
        <f>(T20/R6)*100</f>
        <v>102.68503947229544</v>
      </c>
      <c r="U22" s="620"/>
      <c r="V22" s="621">
        <f>(V20/U6)*100</f>
        <v>285.03361438406523</v>
      </c>
      <c r="W22" s="626">
        <f>(W20/U6)*100</f>
        <v>88.959773952463024</v>
      </c>
      <c r="X22" s="627"/>
      <c r="Y22" s="628">
        <f>(Y20/X6)*100</f>
        <v>-13.443056036256923</v>
      </c>
      <c r="Z22" s="629">
        <f>(Z20/X6)*100</f>
        <v>-13.443056036256923</v>
      </c>
      <c r="AA22" s="622"/>
      <c r="AB22" s="623">
        <f>(AB20/AA6)*100</f>
        <v>58.185395768868176</v>
      </c>
      <c r="AC22" s="624">
        <f>(AC20/AA6)*100</f>
        <v>58.185395768868176</v>
      </c>
      <c r="AD22" s="622"/>
      <c r="AE22" s="623">
        <f>(AE20/AD6)*100</f>
        <v>-20.439712946927386</v>
      </c>
      <c r="AF22" s="624">
        <f>(AF20/AD6)*100</f>
        <v>-20.439712946927386</v>
      </c>
      <c r="AG22" s="622"/>
      <c r="AH22" s="623">
        <f>(AH20/AG6)*100</f>
        <v>-20.460427614705061</v>
      </c>
      <c r="AI22" s="624">
        <f>(AI20/AG6)*100</f>
        <v>-20.460427614705061</v>
      </c>
      <c r="AJ22" s="622"/>
      <c r="AK22" s="623">
        <f>(AK20/AJ6)*100</f>
        <v>48.314165783895938</v>
      </c>
      <c r="AL22" s="624">
        <f>(AL20/AJ6)*100</f>
        <v>31.628636047301462</v>
      </c>
      <c r="AM22" s="630"/>
      <c r="AN22" s="628">
        <f>(AN20/AM6)*100</f>
        <v>80.200743598992403</v>
      </c>
      <c r="AO22" s="629">
        <f>(AO20/AM6)*100</f>
        <v>56.318745910899381</v>
      </c>
      <c r="AP22" s="622"/>
      <c r="AQ22" s="623">
        <f>(AQ20/AP6)*100</f>
        <v>39.592026773575235</v>
      </c>
      <c r="AR22" s="624">
        <f>(AR20/AP6)*100</f>
        <v>47.347969080630854</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1" t="s">
        <v>1189</v>
      </c>
      <c r="B23" s="523" t="s">
        <v>1346</v>
      </c>
      <c r="C23" s="524">
        <f>C6/('Ввод исходных данных'!$G$45+'Ввод исходных данных'!$D$23)</f>
        <v>95.842673544943409</v>
      </c>
      <c r="D23" s="632">
        <f>D6/('Ввод исходных данных'!$G$45+'Ввод исходных данных'!$D$23)</f>
        <v>135.62839330706529</v>
      </c>
      <c r="E23" s="556">
        <f>E6/('Ввод исходных данных'!$G$45+'Ввод исходных данных'!$D$23)</f>
        <v>137.44737746408668</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5" t="s">
        <v>874</v>
      </c>
      <c r="B24" s="386" t="s">
        <v>1191</v>
      </c>
      <c r="C24" s="636">
        <f>C7*1000/('Ввод исходных данных'!$G$45+'Ввод исходных данных'!$G$23)</f>
        <v>13.187631742803319</v>
      </c>
      <c r="D24" s="637">
        <f>0.123*D23</f>
        <v>16.682292376769031</v>
      </c>
      <c r="E24" s="638">
        <f>0.123*E23</f>
        <v>16.906027428082663</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2113405.6907768468</v>
      </c>
      <c r="C27" s="317">
        <f>C15</f>
        <v>677176.75529517012</v>
      </c>
      <c r="D27" s="317">
        <f>C18</f>
        <v>218331.2</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3244871.1810000003</v>
      </c>
      <c r="C28" s="317">
        <f>D15</f>
        <v>998027.28700000001</v>
      </c>
      <c r="D28" s="317">
        <f>D18</f>
        <v>15060</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3301976.9153207769</v>
      </c>
      <c r="C29" s="317">
        <f>E15</f>
        <v>998027.28700000001</v>
      </c>
      <c r="D29" s="317">
        <f>E18</f>
        <v>15060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68" t="s">
        <v>834</v>
      </c>
      <c r="B33" s="1778" t="s">
        <v>1174</v>
      </c>
      <c r="C33" s="1776" t="s">
        <v>1175</v>
      </c>
      <c r="D33" s="1774" t="s">
        <v>1176</v>
      </c>
      <c r="E33" s="1772" t="s">
        <v>1177</v>
      </c>
      <c r="F33" s="74"/>
      <c r="G33" s="1770" t="s">
        <v>834</v>
      </c>
      <c r="H33" s="1764" t="s">
        <v>1174</v>
      </c>
      <c r="I33" s="1805" t="s">
        <v>488</v>
      </c>
      <c r="J33" s="1806"/>
      <c r="K33" s="1807"/>
      <c r="L33" s="1805" t="s">
        <v>489</v>
      </c>
      <c r="M33" s="1806"/>
      <c r="N33" s="1807"/>
      <c r="O33" s="1805" t="s">
        <v>490</v>
      </c>
      <c r="P33" s="1806"/>
      <c r="Q33" s="1807"/>
      <c r="R33" s="1805" t="s">
        <v>491</v>
      </c>
      <c r="S33" s="1806"/>
      <c r="T33" s="1807"/>
      <c r="U33" s="1805" t="s">
        <v>805</v>
      </c>
      <c r="V33" s="1806"/>
      <c r="W33" s="1807"/>
      <c r="X33" s="1805" t="s">
        <v>806</v>
      </c>
      <c r="Y33" s="1806"/>
      <c r="Z33" s="1807"/>
      <c r="AA33" s="1805" t="s">
        <v>807</v>
      </c>
      <c r="AB33" s="1806"/>
      <c r="AC33" s="1807"/>
      <c r="AD33" s="1805" t="s">
        <v>808</v>
      </c>
      <c r="AE33" s="1806"/>
      <c r="AF33" s="1807"/>
      <c r="AG33" s="1805" t="s">
        <v>809</v>
      </c>
      <c r="AH33" s="1806"/>
      <c r="AI33" s="1807"/>
      <c r="AJ33" s="1805" t="s">
        <v>482</v>
      </c>
      <c r="AK33" s="1806"/>
      <c r="AL33" s="1807"/>
      <c r="AM33" s="1805" t="s">
        <v>486</v>
      </c>
      <c r="AN33" s="1806"/>
      <c r="AO33" s="1807"/>
      <c r="AP33" s="1805" t="s">
        <v>487</v>
      </c>
      <c r="AQ33" s="1806"/>
      <c r="AR33" s="1807"/>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69"/>
      <c r="B34" s="1779"/>
      <c r="C34" s="1777"/>
      <c r="D34" s="1775"/>
      <c r="E34" s="1773"/>
      <c r="F34" s="74"/>
      <c r="G34" s="1771"/>
      <c r="H34" s="1765"/>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49" t="s">
        <v>1194</v>
      </c>
      <c r="B35" s="650" t="s">
        <v>842</v>
      </c>
      <c r="C35" s="324">
        <f>C38+C62+C65+C68-C71</f>
        <v>2113405.6907768468</v>
      </c>
      <c r="D35" s="323">
        <f>D36*1163</f>
        <v>3244871.1810000003</v>
      </c>
      <c r="E35" s="651">
        <f>D35*'Ввод исходных данных'!$H$264</f>
        <v>3301976.9153207769</v>
      </c>
      <c r="F35" s="652"/>
      <c r="G35" s="527" t="s">
        <v>1192</v>
      </c>
      <c r="H35" s="528" t="s">
        <v>842</v>
      </c>
      <c r="I35" s="327">
        <f>I38+I62+I65+I68-I71</f>
        <v>409290.64539784484</v>
      </c>
      <c r="J35" s="529">
        <f>J36*1163</f>
        <v>529900.01600000006</v>
      </c>
      <c r="K35" s="653">
        <f>K36*1163</f>
        <v>574571.81967441866</v>
      </c>
      <c r="L35" s="328">
        <f>L38+L62+L65+L68-L71</f>
        <v>351956.64434321004</v>
      </c>
      <c r="M35" s="529">
        <f>M36*1163</f>
        <v>607296.50300000003</v>
      </c>
      <c r="N35" s="653">
        <f>N36*1163</f>
        <v>623002.44704310375</v>
      </c>
      <c r="O35" s="327">
        <f>O38+O62+O65+O68-O71</f>
        <v>300130.139619914</v>
      </c>
      <c r="P35" s="529">
        <f>P36*1163</f>
        <v>333296.02900000004</v>
      </c>
      <c r="Q35" s="654">
        <f>Q36*1163</f>
        <v>342956.78346376814</v>
      </c>
      <c r="R35" s="328">
        <f>R38+R62+R65+R68-R71</f>
        <v>164631.04907986609</v>
      </c>
      <c r="S35" s="653">
        <f>S36*1163</f>
        <v>348382.46500000003</v>
      </c>
      <c r="T35" s="653">
        <f>T36*1163</f>
        <v>407974.20243421057</v>
      </c>
      <c r="U35" s="327">
        <f>U38+U62+U65+U68-U71</f>
        <v>296.76347098995393</v>
      </c>
      <c r="V35" s="529">
        <f>V36*1163</f>
        <v>165943.818</v>
      </c>
      <c r="W35" s="655">
        <f>W36*1163</f>
        <v>55383.749257500014</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17448.272217494556</v>
      </c>
      <c r="AH35" s="529">
        <f>AH36*1163</f>
        <v>0</v>
      </c>
      <c r="AI35" s="656">
        <f>AI36*1163</f>
        <v>0</v>
      </c>
      <c r="AJ35" s="327">
        <f>AJ38+AJ62+AJ65+AJ68-AJ71</f>
        <v>167994.09474536957</v>
      </c>
      <c r="AK35" s="529">
        <f>AK36*1163</f>
        <v>256724.109</v>
      </c>
      <c r="AL35" s="654">
        <f>AL36*1163</f>
        <v>216935.87092289719</v>
      </c>
      <c r="AM35" s="327">
        <f>AM38+AM62+AM65+AM68-AM71</f>
        <v>278578.94927574886</v>
      </c>
      <c r="AN35" s="529">
        <f>AN36*1163</f>
        <v>496129.98500000004</v>
      </c>
      <c r="AO35" s="654">
        <f>AO36*1163</f>
        <v>413190.32185410336</v>
      </c>
      <c r="AP35" s="327">
        <f>AP38+AP62+AP65+AP68-AP71</f>
        <v>374948.01436658564</v>
      </c>
      <c r="AQ35" s="529">
        <f>AQ36*1163</f>
        <v>507198.25600000005</v>
      </c>
      <c r="AR35" s="656">
        <f>AR36*1163</f>
        <v>541744.26724458218</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58" t="s">
        <v>874</v>
      </c>
      <c r="B36" s="359" t="s">
        <v>1184</v>
      </c>
      <c r="C36" s="658">
        <f>0.86*C35/1000</f>
        <v>1817.5288940680882</v>
      </c>
      <c r="D36" s="559">
        <f>'Ввод исходных данных'!J198</f>
        <v>2790.0870000000004</v>
      </c>
      <c r="E36" s="659">
        <f>0.86*E35/1000</f>
        <v>2839.7001471758681</v>
      </c>
      <c r="F36" s="660"/>
      <c r="G36" s="379" t="s">
        <v>874</v>
      </c>
      <c r="H36" s="380" t="s">
        <v>1184</v>
      </c>
      <c r="I36" s="661">
        <f>0.86*I35/1000</f>
        <v>351.98995504214656</v>
      </c>
      <c r="J36" s="662">
        <f>'Ввод исходных данных'!$J$186</f>
        <v>455.63200000000001</v>
      </c>
      <c r="K36" s="651">
        <f>(J36)*'Ввод исходных данных'!$H$252</f>
        <v>494.04283720930238</v>
      </c>
      <c r="L36" s="661">
        <f>0.86*L35/1000</f>
        <v>302.68271413516061</v>
      </c>
      <c r="M36" s="98">
        <f>'Ввод исходных данных'!$J$187</f>
        <v>522.18100000000004</v>
      </c>
      <c r="N36" s="651">
        <f>(M36)*'Ввод исходных данных'!$H$253</f>
        <v>535.68568103448297</v>
      </c>
      <c r="O36" s="661">
        <f>0.86*O35/1000</f>
        <v>258.11192007312604</v>
      </c>
      <c r="P36" s="98">
        <f>'Ввод исходных данных'!$J$188</f>
        <v>286.58300000000003</v>
      </c>
      <c r="Q36" s="651">
        <f>(P36)*'Ввод исходных данных'!$H$254</f>
        <v>294.88975362318843</v>
      </c>
      <c r="R36" s="661">
        <f>0.86*R35/1000</f>
        <v>141.58270220868485</v>
      </c>
      <c r="S36" s="98">
        <f>'Ввод исходных данных'!$J$189</f>
        <v>299.55500000000001</v>
      </c>
      <c r="T36" s="651">
        <f>(S36)*'Ввод исходных данных'!$H$255</f>
        <v>350.7946710526316</v>
      </c>
      <c r="U36" s="384"/>
      <c r="V36" s="98">
        <f>'Ввод исходных данных'!$J$190</f>
        <v>142.68600000000001</v>
      </c>
      <c r="W36" s="651">
        <f>(V36)*'Ввод исходных данных'!$H$256</f>
        <v>47.621452500000011</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0</v>
      </c>
      <c r="AI36" s="651">
        <f>(AH36)*'Ввод исходных данных'!$H$260</f>
        <v>0</v>
      </c>
      <c r="AJ36" s="661">
        <f>0.86*AJ35/1000</f>
        <v>144.47492148101784</v>
      </c>
      <c r="AK36" s="663">
        <f>'Ввод исходных данных'!$J$195</f>
        <v>220.74299999999999</v>
      </c>
      <c r="AL36" s="651">
        <f>(AK36)*'Ввод исходных данных'!$H$261</f>
        <v>186.53127336448597</v>
      </c>
      <c r="AM36" s="661">
        <f>0.86*AM35/1000</f>
        <v>239.57789637714404</v>
      </c>
      <c r="AN36" s="663">
        <f>'Ввод исходных данных'!$J$196</f>
        <v>426.59500000000003</v>
      </c>
      <c r="AO36" s="651">
        <f>(AN36)*'Ввод исходных данных'!$H$262</f>
        <v>355.27972644376899</v>
      </c>
      <c r="AP36" s="661">
        <f>0.86*AP35/1000</f>
        <v>322.45529235526368</v>
      </c>
      <c r="AQ36" s="663">
        <f>'Ввод исходных данных'!$J$197</f>
        <v>436.11200000000002</v>
      </c>
      <c r="AR36" s="651">
        <f>(AQ36)*'Ввод исходных данных'!$H$263</f>
        <v>465.81622291021682</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58" t="s">
        <v>874</v>
      </c>
      <c r="B37" s="359" t="s">
        <v>1181</v>
      </c>
      <c r="C37" s="378"/>
      <c r="D37" s="664">
        <f>D39+D63+D66+D69-D72</f>
        <v>2790.5892156600003</v>
      </c>
      <c r="E37" s="664">
        <f>E39+E63+E66+E69-E72</f>
        <v>2839.7001471758681</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1" t="s">
        <v>1195</v>
      </c>
      <c r="B38" s="650" t="s">
        <v>842</v>
      </c>
      <c r="C38" s="330">
        <f>C41+C44+C47+C50+C53+C56+C59</f>
        <v>1153652.5421644442</v>
      </c>
      <c r="D38" s="672">
        <f>$C38*(($D$35+$D$71)/($C$35+$C$71))</f>
        <v>1633264.9800744583</v>
      </c>
      <c r="E38" s="672">
        <f>$C38*(($E$35+$E$71)/($C$35+$C$71))</f>
        <v>1657471.3042557002</v>
      </c>
      <c r="F38" s="673"/>
      <c r="G38" s="527" t="s">
        <v>1196</v>
      </c>
      <c r="H38" s="674" t="s">
        <v>842</v>
      </c>
      <c r="I38" s="330">
        <f>I41+I44+I47+I50+I53+I56+I59</f>
        <v>214806.27276609829</v>
      </c>
      <c r="J38" s="672">
        <f>I38*((J$35+J$71)/(I$35+I$71))</f>
        <v>267186.82242175261</v>
      </c>
      <c r="K38" s="672">
        <f>IFERROR(I38*((K$35+K$71)/(I$35+I$71)),0)</f>
        <v>286587.74972029624</v>
      </c>
      <c r="L38" s="330">
        <f>L41+L44+L47+L50+L53+L56+L59</f>
        <v>185696.05660900447</v>
      </c>
      <c r="M38" s="672">
        <f>L38*((M$35+M$71)/(L$35+L$71))</f>
        <v>296218.28054347436</v>
      </c>
      <c r="N38" s="672">
        <f>IFERROR(L38*((N$35+N$71)/(L$35+L$71)),0)</f>
        <v>303016.49792232621</v>
      </c>
      <c r="O38" s="330">
        <f>O41+O44+O47+O50+O53+O56+O59</f>
        <v>163552.22913021958</v>
      </c>
      <c r="P38" s="672">
        <f>O38*((P$35+P$71)/(O$35+O$71))</f>
        <v>177625.23815254556</v>
      </c>
      <c r="Q38" s="672">
        <f>IFERROR(O38*((Q$35+Q$71)/(O$35+O$71)),0)</f>
        <v>181724.50662603677</v>
      </c>
      <c r="R38" s="330">
        <f>R41+R44+R47+R50+R53+R56+R59</f>
        <v>99201.374779120044</v>
      </c>
      <c r="S38" s="672">
        <f>R38*((S$35+S$71)/(R$35+R$71))</f>
        <v>172942.99794392486</v>
      </c>
      <c r="T38" s="672">
        <f>IFERROR(R38*((T$35+T$71)/(R$35+R$71)),0)</f>
        <v>196857.86914970394</v>
      </c>
      <c r="U38" s="330">
        <f>U41+U44+U47+U50+U53+U56+U59</f>
        <v>7440.1031084340011</v>
      </c>
      <c r="V38" s="672">
        <f>IFERROR(U38*((V$35+V$71)/(U$35+U$71)),0)</f>
        <v>51744.551255269485</v>
      </c>
      <c r="W38" s="672">
        <f>IFERROR(U38*((W$35+W$71)/(U$35+U$71)),0)</f>
        <v>22173.830262734064</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8192.473085691372</v>
      </c>
      <c r="AH38" s="672">
        <f>IFERROR(AG38*((AH$35+AH$71)/(AG$35+AG$71)),0)</f>
        <v>0</v>
      </c>
      <c r="AI38" s="672">
        <f>IFERROR(AG38*((AI$35+AI$71)/(AG$35+AG$71)),0)</f>
        <v>0</v>
      </c>
      <c r="AJ38" s="330">
        <f>AJ41+AJ44+AJ47+AJ50+AJ53+AJ56+AJ59</f>
        <v>100780.42287953672</v>
      </c>
      <c r="AK38" s="672">
        <f>IFERROR(AJ38*((AK$35+AK$71)/(AJ$35+AJ$71)),0)</f>
        <v>136470.07468571299</v>
      </c>
      <c r="AL38" s="672">
        <f>IFERROR(AJ38*((AL$35+AL$71)/(AJ$35+AJ$71)),0)</f>
        <v>120466.15115564394</v>
      </c>
      <c r="AM38" s="330">
        <f>AM41+AM44+AM47+AM50+AM53+AM56+AM59</f>
        <v>152703.23982853303</v>
      </c>
      <c r="AN38" s="672">
        <f>IFERROR(AM38*((AN$35+AN$71)/(AM$35+AM$71)),0)</f>
        <v>244691.63794859164</v>
      </c>
      <c r="AO38" s="672">
        <f>IFERROR(AM38*((AO$35+AO$71)/(AM$35+AM$71)),0)</f>
        <v>209621.76697321841</v>
      </c>
      <c r="AP38" s="330">
        <f>AP41+AP44+AP47+AP50+AP53+AP56+AP59</f>
        <v>198681.40510537237</v>
      </c>
      <c r="AQ38" s="672">
        <f>IFERROR(AP38*((AQ$35+AQ$71)/(AP$35+AP$71)),0)</f>
        <v>255769.92878200629</v>
      </c>
      <c r="AR38" s="672">
        <f>IFERROR(AP38*((AR$35+AR$71)/(AP$35+AP$71)),0)</f>
        <v>270682.4216176435</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58" t="s">
        <v>874</v>
      </c>
      <c r="B39" s="359" t="s">
        <v>1184</v>
      </c>
      <c r="C39" s="558">
        <f>0.86*C38/1000</f>
        <v>992.14118626142204</v>
      </c>
      <c r="D39" s="377">
        <f>0.86*D38/1000</f>
        <v>1404.6078828640341</v>
      </c>
      <c r="E39" s="676">
        <f>0.86*E38/1000</f>
        <v>1425.425321659902</v>
      </c>
      <c r="F39" s="677"/>
      <c r="G39" s="379" t="s">
        <v>874</v>
      </c>
      <c r="H39" s="678" t="s">
        <v>1184</v>
      </c>
      <c r="I39" s="679">
        <f t="shared" ref="I39:W39" si="23">0.86*I38/1000</f>
        <v>184.73339457884455</v>
      </c>
      <c r="J39" s="680">
        <f t="shared" si="23"/>
        <v>229.78066728270724</v>
      </c>
      <c r="K39" s="681">
        <f t="shared" si="23"/>
        <v>246.46546475945476</v>
      </c>
      <c r="L39" s="682">
        <f t="shared" si="23"/>
        <v>159.69860868374383</v>
      </c>
      <c r="M39" s="683">
        <f t="shared" si="23"/>
        <v>254.74772126738793</v>
      </c>
      <c r="N39" s="681">
        <f t="shared" si="23"/>
        <v>260.59418821320054</v>
      </c>
      <c r="O39" s="684">
        <f t="shared" si="23"/>
        <v>140.65491705198883</v>
      </c>
      <c r="P39" s="681">
        <f t="shared" si="23"/>
        <v>152.75770481118917</v>
      </c>
      <c r="Q39" s="681">
        <f t="shared" si="23"/>
        <v>156.28307569839163</v>
      </c>
      <c r="R39" s="685">
        <f t="shared" si="23"/>
        <v>85.313182310043231</v>
      </c>
      <c r="S39" s="680">
        <f t="shared" si="23"/>
        <v>148.73097823177537</v>
      </c>
      <c r="T39" s="686">
        <f t="shared" si="23"/>
        <v>169.29776746874538</v>
      </c>
      <c r="U39" s="687">
        <f t="shared" si="23"/>
        <v>6.3984886732532402</v>
      </c>
      <c r="V39" s="680">
        <f t="shared" si="23"/>
        <v>44.500314079531762</v>
      </c>
      <c r="W39" s="686">
        <f t="shared" si="23"/>
        <v>19.069494025951293</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7.0455268536945796</v>
      </c>
      <c r="AH39" s="680">
        <f t="shared" ref="AH39" si="27">0.86*AH38/1000</f>
        <v>0</v>
      </c>
      <c r="AI39" s="686">
        <f>0.86*AI38/1000</f>
        <v>0</v>
      </c>
      <c r="AJ39" s="682">
        <f>0.86*AJ38/1000</f>
        <v>86.671163676401591</v>
      </c>
      <c r="AK39" s="680">
        <f t="shared" ref="AK39:AN39" si="28">0.86*AK38/1000</f>
        <v>117.36426422971317</v>
      </c>
      <c r="AL39" s="686">
        <f t="shared" si="28"/>
        <v>103.60088999385378</v>
      </c>
      <c r="AM39" s="688">
        <f>0.86*AM38/1000</f>
        <v>131.32478625253842</v>
      </c>
      <c r="AN39" s="680">
        <f t="shared" si="28"/>
        <v>210.43480863578878</v>
      </c>
      <c r="AO39" s="686">
        <f t="shared" ref="AO39" si="29">0.86*AO38/1000</f>
        <v>180.27471959696783</v>
      </c>
      <c r="AP39" s="682">
        <f>0.86*AP38/1000</f>
        <v>170.86600839062024</v>
      </c>
      <c r="AQ39" s="680">
        <f t="shared" ref="AQ39:AR39" si="30">0.86*AQ38/1000</f>
        <v>219.96213875252542</v>
      </c>
      <c r="AR39" s="686">
        <f t="shared" si="30"/>
        <v>232.78688259117339</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2" t="s">
        <v>1197</v>
      </c>
      <c r="B41" s="322" t="s">
        <v>842</v>
      </c>
      <c r="C41" s="333">
        <f>IF(C134=0,0,B134/C134*D134)*0.024*$D$147</f>
        <v>523176.03314365185</v>
      </c>
      <c r="D41" s="706">
        <f>C41*($D$38/$C$38)</f>
        <v>740678.03096471692</v>
      </c>
      <c r="E41" s="707">
        <f>C41*($E$38/$C$38)</f>
        <v>751655.48578692123</v>
      </c>
      <c r="F41" s="74"/>
      <c r="G41" s="334" t="s">
        <v>1197</v>
      </c>
      <c r="H41" s="326" t="s">
        <v>842</v>
      </c>
      <c r="I41" s="335">
        <f>IF($C134=0,0,$B134/$C134*$D134)*0.024*G$147</f>
        <v>97413.640218998829</v>
      </c>
      <c r="J41" s="610">
        <f>I41*($J$38/$I$38)</f>
        <v>121167.97454509875</v>
      </c>
      <c r="K41" s="708">
        <f>I41*($K$38/$I$38)</f>
        <v>129966.20435207094</v>
      </c>
      <c r="L41" s="335">
        <f>IF($C134=0,0,$B134/$C134*$D134)*0.024*H$147</f>
        <v>84212.293317401403</v>
      </c>
      <c r="M41" s="709">
        <f>L41*($M$38/$L$38)</f>
        <v>134333.60504594451</v>
      </c>
      <c r="N41" s="710">
        <f>L41*($N$38/$L$38)</f>
        <v>137416.5648373242</v>
      </c>
      <c r="O41" s="335">
        <f>IF($C134=0,0,$B134/$C134*$D134)*0.024*I$147</f>
        <v>74170.17110508222</v>
      </c>
      <c r="P41" s="711">
        <f>O41*($P$38/$O$38)</f>
        <v>80552.214888283823</v>
      </c>
      <c r="Q41" s="712">
        <f>O41*($Q$38/$O$38)</f>
        <v>82411.213971949241</v>
      </c>
      <c r="R41" s="335">
        <f>IF($C134=0,0,$B134/$C134*$D134)*0.024*J$147</f>
        <v>44987.359575322473</v>
      </c>
      <c r="S41" s="711">
        <f>R41*($S$38/$R$38)</f>
        <v>78428.840848838649</v>
      </c>
      <c r="T41" s="712">
        <f>R41*($T$38/$R$38)</f>
        <v>89274.123109567547</v>
      </c>
      <c r="U41" s="335">
        <f>IF($C134=0,0,$B134/$C134*$D134)*0.024*K$147</f>
        <v>3374.0519681491855</v>
      </c>
      <c r="V41" s="711">
        <f>IFERROR(U41*($V$38/$U$38),0)</f>
        <v>23465.912025591002</v>
      </c>
      <c r="W41" s="712">
        <f>IFERROR(U41*($W$38/$U$38),0)</f>
        <v>10055.728334540661</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3715.2482345912381</v>
      </c>
      <c r="AH41" s="711">
        <f>IFERROR(AG41*($AH$38/$AG$38),0)</f>
        <v>0</v>
      </c>
      <c r="AI41" s="712">
        <f>IFERROR(AG41*($AI$35/$AG$35),0)</f>
        <v>0</v>
      </c>
      <c r="AJ41" s="335">
        <f>IF($C134=0,0,$B134/$C134*$D134)*0.024*P$147</f>
        <v>45703.450504892215</v>
      </c>
      <c r="AK41" s="711">
        <f>AJ41*($AK$38/$AJ$38)</f>
        <v>61888.540706489424</v>
      </c>
      <c r="AL41" s="712">
        <f>IFERROR(AJ41*($AL$38/$AJ$38),0)</f>
        <v>54630.836223398728</v>
      </c>
      <c r="AM41" s="335">
        <f>IF($C134=0,0,$B134/$C134*$D134)*0.024*Q$147</f>
        <v>69250.20518897954</v>
      </c>
      <c r="AN41" s="711">
        <f>AM41*($AN$38/$AM$38)</f>
        <v>110966.51357885108</v>
      </c>
      <c r="AO41" s="712">
        <f>AM41*($AO$38/$AM$38)</f>
        <v>95062.491085794303</v>
      </c>
      <c r="AP41" s="335">
        <f>IF($C134=0,0,$B134/$C134*$D134)*0.024*R$147</f>
        <v>90101.088138216073</v>
      </c>
      <c r="AQ41" s="711">
        <f>AP41*($AQ$38/$AP$38)</f>
        <v>115990.46666732906</v>
      </c>
      <c r="AR41" s="712">
        <f>AP41*($AR$38/$AP$38)</f>
        <v>122753.21243426007</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58" t="s">
        <v>874</v>
      </c>
      <c r="B42" s="359" t="s">
        <v>1184</v>
      </c>
      <c r="C42" s="558">
        <f>0.86*C41/1000</f>
        <v>449.93138850354057</v>
      </c>
      <c r="D42" s="377">
        <f>0.86*D41/1000</f>
        <v>636.9831066296565</v>
      </c>
      <c r="E42" s="676">
        <f>0.86*E41/1000</f>
        <v>646.42371777675214</v>
      </c>
      <c r="F42" s="74"/>
      <c r="G42" s="379" t="s">
        <v>874</v>
      </c>
      <c r="H42" s="380" t="s">
        <v>1184</v>
      </c>
      <c r="I42" s="688">
        <f t="shared" ref="I42:W42" si="31">0.86*I41/1000</f>
        <v>83.775730588338988</v>
      </c>
      <c r="J42" s="680">
        <f t="shared" si="31"/>
        <v>104.20445810878492</v>
      </c>
      <c r="K42" s="713">
        <f t="shared" si="31"/>
        <v>111.77093574278101</v>
      </c>
      <c r="L42" s="688">
        <f t="shared" ref="L42" si="32">0.86*L41/1000</f>
        <v>72.42257225296521</v>
      </c>
      <c r="M42" s="683">
        <f t="shared" si="31"/>
        <v>115.52690033951227</v>
      </c>
      <c r="N42" s="683">
        <f t="shared" si="31"/>
        <v>118.17824576009882</v>
      </c>
      <c r="O42" s="682">
        <f t="shared" si="31"/>
        <v>63.786347150370709</v>
      </c>
      <c r="P42" s="714">
        <f t="shared" si="31"/>
        <v>69.274904803924088</v>
      </c>
      <c r="Q42" s="714">
        <f t="shared" si="31"/>
        <v>70.873644015876337</v>
      </c>
      <c r="R42" s="688">
        <f t="shared" si="31"/>
        <v>38.689129234777326</v>
      </c>
      <c r="S42" s="680">
        <f t="shared" si="31"/>
        <v>67.448803130001238</v>
      </c>
      <c r="T42" s="686">
        <f t="shared" si="31"/>
        <v>76.775745874228093</v>
      </c>
      <c r="U42" s="688">
        <f t="shared" si="31"/>
        <v>2.9016846926082995</v>
      </c>
      <c r="V42" s="680">
        <f t="shared" si="31"/>
        <v>20.180684342008263</v>
      </c>
      <c r="W42" s="686">
        <f t="shared" si="31"/>
        <v>8.6479263677049687</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3.1951134817484648</v>
      </c>
      <c r="AH42" s="680">
        <f t="shared" si="36"/>
        <v>0</v>
      </c>
      <c r="AI42" s="686">
        <f>0.86*AI41/1000</f>
        <v>0</v>
      </c>
      <c r="AJ42" s="688">
        <f t="shared" ref="AJ42" si="37">0.86*AJ41/1000</f>
        <v>39.304967434207306</v>
      </c>
      <c r="AK42" s="680">
        <f t="shared" ref="AK42" si="38">0.86*AK41/1000</f>
        <v>53.224145007580901</v>
      </c>
      <c r="AL42" s="686">
        <f t="shared" ref="AL42:AM42" si="39">0.86*AL41/1000</f>
        <v>46.982519152122904</v>
      </c>
      <c r="AM42" s="688">
        <f t="shared" si="39"/>
        <v>59.555176462522404</v>
      </c>
      <c r="AN42" s="680">
        <f t="shared" ref="AN42" si="40">0.86*AN41/1000</f>
        <v>95.431201677811927</v>
      </c>
      <c r="AO42" s="686">
        <f t="shared" ref="AO42:AP42" si="41">0.86*AO41/1000</f>
        <v>81.753742333783094</v>
      </c>
      <c r="AP42" s="688">
        <f t="shared" si="41"/>
        <v>77.486935798865815</v>
      </c>
      <c r="AQ42" s="680">
        <f t="shared" ref="AQ42" si="42">0.86*AQ41/1000</f>
        <v>99.751801333902989</v>
      </c>
      <c r="AR42" s="686">
        <f t="shared" ref="AR42" si="43">0.86*AR41/1000</f>
        <v>105.56776269346366</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2" t="s">
        <v>1199</v>
      </c>
      <c r="B44" s="322" t="s">
        <v>842</v>
      </c>
      <c r="C44" s="333">
        <f>IF(C135=0,0,B135/C135*D135)*0.024*$D$147</f>
        <v>435662.39999999997</v>
      </c>
      <c r="D44" s="706">
        <f>C44*($D$38/$C$38)</f>
        <v>616782.01629079785</v>
      </c>
      <c r="E44" s="707">
        <f>C44*($E$38/$C$38)</f>
        <v>625923.2307401608</v>
      </c>
      <c r="F44" s="74"/>
      <c r="G44" s="334" t="s">
        <v>1199</v>
      </c>
      <c r="H44" s="326" t="s">
        <v>842</v>
      </c>
      <c r="I44" s="335">
        <f>IF($C135=0,0,$B135/$C135*$D135)*0.024*G$147</f>
        <v>81118.892307692295</v>
      </c>
      <c r="J44" s="610">
        <f>I44*($J$38/$I$38)</f>
        <v>100899.74931814621</v>
      </c>
      <c r="K44" s="708">
        <f>I44*($K$38/$I$38)</f>
        <v>108226.26596002106</v>
      </c>
      <c r="L44" s="335">
        <f>IF($C135=0,0,$B135/$C135*$D135)*0.024*H$147</f>
        <v>70125.784615384619</v>
      </c>
      <c r="M44" s="709">
        <f>L44*($M$38/$L$38)</f>
        <v>111863.11502709634</v>
      </c>
      <c r="N44" s="710">
        <f>L44*($N$38/$L$38)</f>
        <v>114430.37647778893</v>
      </c>
      <c r="O44" s="335">
        <f>IF($C135=0,0,$B135/$C135*$D135)*0.024*I$147</f>
        <v>61763.446153846147</v>
      </c>
      <c r="P44" s="711">
        <f>O44*($P$38/$O$38)</f>
        <v>67077.9413435202</v>
      </c>
      <c r="Q44" s="712">
        <f>O44*($Q$38/$O$38)</f>
        <v>68625.978621759001</v>
      </c>
      <c r="R44" s="335">
        <f>IF($C135=0,0,$B135/$C135*$D135)*0.024*J$147</f>
        <v>37462.153846153844</v>
      </c>
      <c r="S44" s="711">
        <f>R44*($S$38/$R$38)</f>
        <v>65309.752107931927</v>
      </c>
      <c r="T44" s="712">
        <f>R44*($T$38/$R$38)</f>
        <v>74340.902999909493</v>
      </c>
      <c r="U44" s="335">
        <f>IF($C135=0,0,$B135/$C135*$D135)*0.024*K$147</f>
        <v>2809.6615384615384</v>
      </c>
      <c r="V44" s="711">
        <f>IFERROR(U44*($V$38/$U$38),0)</f>
        <v>19540.680198648897</v>
      </c>
      <c r="W44" s="712">
        <f>IFERROR(U44*($W$38/$U$38),0)</f>
        <v>8373.6686362524833</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3093.7846153846153</v>
      </c>
      <c r="AH44" s="711">
        <f>IFERROR(AG44*($AH$38/$AG$38),0)</f>
        <v>0</v>
      </c>
      <c r="AI44" s="712">
        <f>IFERROR(AG44*($AI$35/$AG$35),0)</f>
        <v>0</v>
      </c>
      <c r="AJ44" s="335">
        <f>IF($C135=0,0,$B135/$C135*$D135)*0.024*P$147</f>
        <v>38058.461538461532</v>
      </c>
      <c r="AK44" s="711">
        <f>AJ44*($AK$38/$AJ$38)</f>
        <v>51536.210507723321</v>
      </c>
      <c r="AL44" s="712">
        <f>IFERROR(AJ44*($AL$38/$AJ$38),0)</f>
        <v>45492.529694221936</v>
      </c>
      <c r="AM44" s="335">
        <f>IF($C135=0,0,$B135/$C135*$D135)*0.024*Q$147</f>
        <v>57666.461538461532</v>
      </c>
      <c r="AN44" s="711">
        <f>AM44*($AN$38/$AM$38)</f>
        <v>92404.72529849381</v>
      </c>
      <c r="AO44" s="712">
        <f>AM44*($AO$38/$AM$38)</f>
        <v>79161.028779474145</v>
      </c>
      <c r="AP44" s="335">
        <f>IF($C135=0,0,$B135/$C135*$D135)*0.024*R$147</f>
        <v>75029.538461538454</v>
      </c>
      <c r="AQ44" s="711">
        <f>AP44*($AQ$38/$AP$38)</f>
        <v>96588.302758764738</v>
      </c>
      <c r="AR44" s="712">
        <f>AP44*($AR$38/$AP$38)</f>
        <v>102219.81847195113</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58" t="s">
        <v>874</v>
      </c>
      <c r="B45" s="359" t="s">
        <v>1184</v>
      </c>
      <c r="C45" s="558">
        <f>0.86*C44/1000</f>
        <v>374.66966400000001</v>
      </c>
      <c r="D45" s="377">
        <f>0.86*D44/1000</f>
        <v>530.4325340100861</v>
      </c>
      <c r="E45" s="676">
        <f>0.86*E44/1000</f>
        <v>538.29397843653828</v>
      </c>
      <c r="F45" s="74"/>
      <c r="G45" s="379" t="s">
        <v>874</v>
      </c>
      <c r="H45" s="380" t="s">
        <v>1184</v>
      </c>
      <c r="I45" s="688">
        <f t="shared" ref="I45:O45" si="44">0.86*I44/1000</f>
        <v>69.762247384615378</v>
      </c>
      <c r="J45" s="680">
        <f t="shared" si="44"/>
        <v>86.773784413605739</v>
      </c>
      <c r="K45" s="713">
        <f t="shared" si="44"/>
        <v>93.074588725618113</v>
      </c>
      <c r="L45" s="688">
        <f t="shared" ref="L45" si="45">0.86*L44/1000</f>
        <v>60.308174769230767</v>
      </c>
      <c r="M45" s="683">
        <f t="shared" si="44"/>
        <v>96.202278923302842</v>
      </c>
      <c r="N45" s="683">
        <f t="shared" si="44"/>
        <v>98.41012377089848</v>
      </c>
      <c r="O45" s="688">
        <f t="shared" si="44"/>
        <v>53.116563692307686</v>
      </c>
      <c r="P45" s="717">
        <f t="shared" ref="P45:P57" si="46">O45*($P$35/$O$35)</f>
        <v>58.986211032292744</v>
      </c>
      <c r="Q45" s="718">
        <f t="shared" ref="Q45" si="47">O45*($Q$35/$O$35)</f>
        <v>60.695956279605568</v>
      </c>
      <c r="R45" s="688">
        <f t="shared" ref="R45" si="48">0.86*R44/1000</f>
        <v>32.217452307692305</v>
      </c>
      <c r="S45" s="680">
        <f>0.86*S44/1000</f>
        <v>56.16638681282145</v>
      </c>
      <c r="T45" s="686">
        <f>0.86*T44/1000</f>
        <v>63.933176579922161</v>
      </c>
      <c r="U45" s="688">
        <f t="shared" ref="U45:W45" si="49">0.86*U44/1000</f>
        <v>2.4163089230769228</v>
      </c>
      <c r="V45" s="680">
        <f t="shared" si="49"/>
        <v>16.804984970838049</v>
      </c>
      <c r="W45" s="686">
        <f t="shared" si="49"/>
        <v>7.2013550271771356</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2.6606547692307689</v>
      </c>
      <c r="AH45" s="680">
        <f t="shared" si="53"/>
        <v>0</v>
      </c>
      <c r="AI45" s="686">
        <f>0.86*AI44/1000</f>
        <v>0</v>
      </c>
      <c r="AJ45" s="688">
        <f t="shared" ref="AJ45" si="54">0.86*AJ44/1000</f>
        <v>32.730276923076914</v>
      </c>
      <c r="AK45" s="680">
        <f t="shared" ref="AK45" si="55">0.86*AK44/1000</f>
        <v>44.321141036642054</v>
      </c>
      <c r="AL45" s="686">
        <f t="shared" ref="AL45:AM45" si="56">0.86*AL44/1000</f>
        <v>39.12357553703086</v>
      </c>
      <c r="AM45" s="688">
        <f t="shared" si="56"/>
        <v>49.593156923076918</v>
      </c>
      <c r="AN45" s="680">
        <f t="shared" ref="AN45" si="57">0.86*AN44/1000</f>
        <v>79.46806375670468</v>
      </c>
      <c r="AO45" s="686">
        <f t="shared" ref="AO45:AP45" si="58">0.86*AO44/1000</f>
        <v>68.078484750347769</v>
      </c>
      <c r="AP45" s="688">
        <f t="shared" si="58"/>
        <v>64.52540307692307</v>
      </c>
      <c r="AQ45" s="680">
        <f t="shared" ref="AQ45" si="59">0.86*AQ44/1000</f>
        <v>83.065940372537682</v>
      </c>
      <c r="AR45" s="686">
        <f t="shared" ref="AR45" si="60">0.86*AR44/1000</f>
        <v>87.909043885877963</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2" t="s">
        <v>1201</v>
      </c>
      <c r="B47" s="322" t="s">
        <v>842</v>
      </c>
      <c r="C47" s="333">
        <f>IF(C136=0,0,B136/C136*D136)*0.024*$D$147</f>
        <v>70795.14</v>
      </c>
      <c r="D47" s="706">
        <f>C47*($D$35/$C$35)</f>
        <v>108697.11884632021</v>
      </c>
      <c r="E47" s="707">
        <f>C47*($E$38/$C$38)</f>
        <v>101712.52499527614</v>
      </c>
      <c r="F47" s="74"/>
      <c r="G47" s="334" t="s">
        <v>1201</v>
      </c>
      <c r="H47" s="326" t="s">
        <v>842</v>
      </c>
      <c r="I47" s="335">
        <f>IF($C136=0,0,$B136/$C136*$D136)*0.024*G$147</f>
        <v>13181.82</v>
      </c>
      <c r="J47" s="610">
        <f>I47*($J$38/$I$38)</f>
        <v>16396.209264198762</v>
      </c>
      <c r="K47" s="708">
        <f>I47*($K$38/$I$38)</f>
        <v>17586.768218503425</v>
      </c>
      <c r="L47" s="335">
        <f>IF($C136=0,0,$B136/$C136*$D136)*0.024*H$147</f>
        <v>11395.440000000002</v>
      </c>
      <c r="M47" s="709">
        <f>L47*($M$38/$L$38)</f>
        <v>18177.756191903158</v>
      </c>
      <c r="N47" s="708">
        <f>L47*($N$38/$L$38)</f>
        <v>18594.936177640706</v>
      </c>
      <c r="O47" s="335">
        <f>IF($C136=0,0,$B136/$C136*$D136)*0.024*I$147</f>
        <v>10036.56</v>
      </c>
      <c r="P47" s="711">
        <f>O47*($P$38/$O$38)</f>
        <v>10900.165468322033</v>
      </c>
      <c r="Q47" s="712">
        <f>O47*($Q$38/$O$38)</f>
        <v>11151.721526035839</v>
      </c>
      <c r="R47" s="335">
        <f>IF($C136=0,0,$B136/$C136*$D136)*0.024*J$147</f>
        <v>6087.6</v>
      </c>
      <c r="S47" s="711">
        <f>R47*($S$38/$R$38)</f>
        <v>10612.834717538939</v>
      </c>
      <c r="T47" s="712">
        <f>R47*($T$38/$R$38)</f>
        <v>12080.396737485295</v>
      </c>
      <c r="U47" s="335">
        <f>IF($C136=0,0,$B136/$C136*$D136)*0.024*K$147</f>
        <v>456.57000000000005</v>
      </c>
      <c r="V47" s="711">
        <f>IFERROR(U47*($V$38/$U$38),0)</f>
        <v>3175.360532280446</v>
      </c>
      <c r="W47" s="712">
        <f>IFERROR(U47*($W$38/$U$38),0)</f>
        <v>1360.7211533910288</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502.74</v>
      </c>
      <c r="AH47" s="720">
        <f>IFERROR(AG47*($AH$35/$AG$35),0)</f>
        <v>0</v>
      </c>
      <c r="AI47" s="721">
        <f>IFERROR(AG47*($AI$35/$AG$35),0)</f>
        <v>0</v>
      </c>
      <c r="AJ47" s="335">
        <f>IF($C136=0,0,$B136/$C136*$D136)*0.024*P$147</f>
        <v>6184.5</v>
      </c>
      <c r="AK47" s="711">
        <f>AJ47*($AK$38/$AJ$38)</f>
        <v>8374.6342075050397</v>
      </c>
      <c r="AL47" s="712">
        <f>IFERROR(AJ47*($AL$38/$AJ$38),)</f>
        <v>7392.5360753110654</v>
      </c>
      <c r="AM47" s="335">
        <f>IF($C136=0,0,$B136/$C136*$D136)*0.024*Q$147</f>
        <v>9370.8000000000011</v>
      </c>
      <c r="AN47" s="711">
        <f>AM47*($AN$38/$AM$38)</f>
        <v>15015.767861005248</v>
      </c>
      <c r="AO47" s="712">
        <f>AM47*($AO$38/$AM$38)</f>
        <v>12863.667176664552</v>
      </c>
      <c r="AP47" s="335">
        <f>IF($C136=0,0,$B136/$C136*$D136)*0.024*R$147</f>
        <v>12192.300000000001</v>
      </c>
      <c r="AQ47" s="711">
        <f>AP47*($AQ$38/$AP$38)</f>
        <v>15695.599198299273</v>
      </c>
      <c r="AR47" s="712">
        <f>AP47*($AR$38/$AP$38)</f>
        <v>16610.720501692063</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58" t="s">
        <v>874</v>
      </c>
      <c r="B48" s="359" t="s">
        <v>1184</v>
      </c>
      <c r="C48" s="558">
        <f>0.86*C47/1000</f>
        <v>60.883820399999998</v>
      </c>
      <c r="D48" s="377">
        <f>0.86*D47/1000</f>
        <v>93.479522207835387</v>
      </c>
      <c r="E48" s="676">
        <f>0.86*E47/1000</f>
        <v>87.472771495937465</v>
      </c>
      <c r="F48" s="74"/>
      <c r="G48" s="379" t="s">
        <v>874</v>
      </c>
      <c r="H48" s="380" t="s">
        <v>1184</v>
      </c>
      <c r="I48" s="723">
        <f t="shared" ref="I48:O48" si="61">0.86*I47/1000</f>
        <v>11.336365199999999</v>
      </c>
      <c r="J48" s="680">
        <f t="shared" si="61"/>
        <v>14.100739967210934</v>
      </c>
      <c r="K48" s="724">
        <f t="shared" si="61"/>
        <v>15.124620667912945</v>
      </c>
      <c r="L48" s="723">
        <f t="shared" ref="L48" si="62">0.86*L47/1000</f>
        <v>9.8000784000000021</v>
      </c>
      <c r="M48" s="683">
        <f t="shared" si="61"/>
        <v>15.632870325036716</v>
      </c>
      <c r="N48" s="681">
        <f t="shared" si="61"/>
        <v>15.991645112771007</v>
      </c>
      <c r="O48" s="723">
        <f t="shared" si="61"/>
        <v>8.6314416000000005</v>
      </c>
      <c r="P48" s="717">
        <f t="shared" si="46"/>
        <v>9.5852592927475726</v>
      </c>
      <c r="Q48" s="718">
        <f t="shared" ref="Q48" si="63">O48*($Q$35/$O$35)</f>
        <v>9.8630928954359067</v>
      </c>
      <c r="R48" s="723">
        <f t="shared" ref="R48" si="64">0.86*R47/1000</f>
        <v>5.2353360000000002</v>
      </c>
      <c r="S48" s="725">
        <f>0.86*S47/1000</f>
        <v>9.1270378570834865</v>
      </c>
      <c r="T48" s="726">
        <f>0.86*T47/1000</f>
        <v>10.389141194237352</v>
      </c>
      <c r="U48" s="723">
        <f t="shared" ref="U48:W48" si="65">0.86*U47/1000</f>
        <v>0.39265020000000006</v>
      </c>
      <c r="V48" s="680">
        <f t="shared" si="65"/>
        <v>2.7308100577611834</v>
      </c>
      <c r="W48" s="686">
        <f t="shared" si="65"/>
        <v>1.1702201919162847</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0.43235640000000003</v>
      </c>
      <c r="AH48" s="680">
        <f t="shared" si="69"/>
        <v>0</v>
      </c>
      <c r="AI48" s="686">
        <f>0.86*AI47/1000</f>
        <v>0</v>
      </c>
      <c r="AJ48" s="723">
        <f t="shared" ref="AJ48" si="70">0.86*AJ47/1000</f>
        <v>5.31867</v>
      </c>
      <c r="AK48" s="680">
        <f t="shared" ref="AK48" si="71">0.86*AK47/1000</f>
        <v>7.2021854184543344</v>
      </c>
      <c r="AL48" s="686">
        <f t="shared" ref="AL48:AM48" si="72">0.86*AL47/1000</f>
        <v>6.3575810247675166</v>
      </c>
      <c r="AM48" s="723">
        <f t="shared" si="72"/>
        <v>8.0588880000000014</v>
      </c>
      <c r="AN48" s="680">
        <f t="shared" ref="AN48" si="73">0.86*AN47/1000</f>
        <v>12.913560360464514</v>
      </c>
      <c r="AO48" s="686">
        <f t="shared" ref="AO48:AP48" si="74">0.86*AO47/1000</f>
        <v>11.062753771931515</v>
      </c>
      <c r="AP48" s="723">
        <f t="shared" si="74"/>
        <v>10.485378000000001</v>
      </c>
      <c r="AQ48" s="680">
        <f t="shared" ref="AQ48" si="75">0.86*AQ47/1000</f>
        <v>13.498215310537374</v>
      </c>
      <c r="AR48" s="686">
        <f t="shared" ref="AR48" si="76">0.86*AR47/1000</f>
        <v>14.285219631455174</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2" t="s">
        <v>1589</v>
      </c>
      <c r="B50" s="322" t="s">
        <v>842</v>
      </c>
      <c r="C50" s="333">
        <f>IF(C137=0,0,B137/C137*D137)*0.024*$D$147</f>
        <v>70795.14</v>
      </c>
      <c r="D50" s="706">
        <f>C50*($D$35/$C$35)</f>
        <v>108697.11884632021</v>
      </c>
      <c r="E50" s="707">
        <f>C50*($E$38/$C$38)</f>
        <v>101712.52499527614</v>
      </c>
      <c r="F50" s="74"/>
      <c r="G50" s="332" t="s">
        <v>1589</v>
      </c>
      <c r="H50" s="326" t="s">
        <v>842</v>
      </c>
      <c r="I50" s="335">
        <f>IF($C137=0,0,$B137/$C137*$D137)*0.024*G$147</f>
        <v>13181.82</v>
      </c>
      <c r="J50" s="610">
        <f>I50*($J$38/$I$38)</f>
        <v>16396.209264198762</v>
      </c>
      <c r="K50" s="708">
        <f>I50*($K$38/$I$38)</f>
        <v>17586.768218503425</v>
      </c>
      <c r="L50" s="335">
        <f>IF($C137=0,0,$B137/$C137*$D137)*0.024*H$147</f>
        <v>11395.440000000002</v>
      </c>
      <c r="M50" s="709">
        <f>L50*($M$38/$L$38)</f>
        <v>18177.756191903158</v>
      </c>
      <c r="N50" s="708">
        <f>L50*($N$38/$L$38)</f>
        <v>18594.936177640706</v>
      </c>
      <c r="O50" s="335">
        <f>IF($C137=0,0,$B137/$C137*$D137)*0.024*I$147</f>
        <v>10036.56</v>
      </c>
      <c r="P50" s="711">
        <f>O50*($P$38/$O$38)</f>
        <v>10900.165468322033</v>
      </c>
      <c r="Q50" s="712">
        <f>O50*($Q$38/$O$38)</f>
        <v>11151.721526035839</v>
      </c>
      <c r="R50" s="335">
        <f>IF($C137=0,0,$B137/$C137*$D137)*0.024*J$147</f>
        <v>6087.6</v>
      </c>
      <c r="S50" s="711">
        <f>R50*($S$38/$R$38)</f>
        <v>10612.834717538939</v>
      </c>
      <c r="T50" s="712">
        <f>R50*($T$38/$R$38)</f>
        <v>12080.396737485295</v>
      </c>
      <c r="U50" s="335">
        <f>IF($C137=0,0,$B137/$C137*$D137)*0.024*K$147</f>
        <v>456.57000000000005</v>
      </c>
      <c r="V50" s="711">
        <f>IFERROR(U50*($V$38/$U$38),0)</f>
        <v>3175.360532280446</v>
      </c>
      <c r="W50" s="712">
        <f>IFERROR(U50*($W$38/$U$38),0)</f>
        <v>1360.7211533910288</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502.74</v>
      </c>
      <c r="AH50" s="720">
        <f>IFERROR(AG50*($AH$35/$AG$35),0)</f>
        <v>0</v>
      </c>
      <c r="AI50" s="721">
        <f>IFERROR(AG50*($AI$35/$AG$35),0)</f>
        <v>0</v>
      </c>
      <c r="AJ50" s="335">
        <f>IF($C137=0,0,$B137/$C137*$D137)*0.024*P$147</f>
        <v>6184.5</v>
      </c>
      <c r="AK50" s="711">
        <f>AJ50*($AK$38/$AJ$38)</f>
        <v>8374.6342075050397</v>
      </c>
      <c r="AL50" s="712">
        <f>IFERROR(AJ50*($AL$38/$AJ$38),)</f>
        <v>7392.5360753110654</v>
      </c>
      <c r="AM50" s="335">
        <f>IF($C137=0,0,$B137/$C137*$D137)*0.024*Q$147</f>
        <v>9370.8000000000011</v>
      </c>
      <c r="AN50" s="711">
        <f>AM50*($AN$38/$AM$38)</f>
        <v>15015.767861005248</v>
      </c>
      <c r="AO50" s="712">
        <f>AM50*($AO$38/$AM$38)</f>
        <v>12863.667176664552</v>
      </c>
      <c r="AP50" s="335">
        <f>IF($C137=0,0,$B137/$C137*$D137)*0.024*R$147</f>
        <v>12192.300000000001</v>
      </c>
      <c r="AQ50" s="711">
        <f>AP50*($AQ$38/$AP$38)</f>
        <v>15695.599198299273</v>
      </c>
      <c r="AR50" s="712">
        <f>AP50*($AR$38/$AP$38)</f>
        <v>16610.720501692063</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58" t="s">
        <v>874</v>
      </c>
      <c r="B51" s="359" t="s">
        <v>1184</v>
      </c>
      <c r="C51" s="558">
        <f>0.86*C50/1000</f>
        <v>60.883820399999998</v>
      </c>
      <c r="D51" s="377">
        <f>0.86*D50/1000</f>
        <v>93.479522207835387</v>
      </c>
      <c r="E51" s="676">
        <f>0.86*E50/1000</f>
        <v>87.472771495937465</v>
      </c>
      <c r="F51" s="74"/>
      <c r="G51" s="379" t="s">
        <v>874</v>
      </c>
      <c r="H51" s="380" t="s">
        <v>1184</v>
      </c>
      <c r="I51" s="723">
        <f t="shared" ref="I51:O51" si="77">0.86*I50/1000</f>
        <v>11.336365199999999</v>
      </c>
      <c r="J51" s="680">
        <f t="shared" si="77"/>
        <v>14.100739967210934</v>
      </c>
      <c r="K51" s="724">
        <f t="shared" si="77"/>
        <v>15.124620667912945</v>
      </c>
      <c r="L51" s="723">
        <f t="shared" si="77"/>
        <v>9.8000784000000021</v>
      </c>
      <c r="M51" s="683">
        <f t="shared" si="77"/>
        <v>15.632870325036716</v>
      </c>
      <c r="N51" s="681">
        <f t="shared" si="77"/>
        <v>15.991645112771007</v>
      </c>
      <c r="O51" s="723">
        <f t="shared" si="77"/>
        <v>8.6314416000000005</v>
      </c>
      <c r="P51" s="717">
        <f t="shared" ref="P51" si="78">O51*($P$35/$O$35)</f>
        <v>9.5852592927475726</v>
      </c>
      <c r="Q51" s="718">
        <f t="shared" ref="Q51" si="79">O51*($Q$35/$O$35)</f>
        <v>9.8630928954359067</v>
      </c>
      <c r="R51" s="723">
        <f t="shared" ref="R51" si="80">0.86*R50/1000</f>
        <v>5.2353360000000002</v>
      </c>
      <c r="S51" s="725">
        <f>0.86*S50/1000</f>
        <v>9.1270378570834865</v>
      </c>
      <c r="T51" s="726">
        <f>0.86*T50/1000</f>
        <v>10.389141194237352</v>
      </c>
      <c r="U51" s="723">
        <f t="shared" ref="U51:AH51" si="81">0.86*U50/1000</f>
        <v>0.39265020000000006</v>
      </c>
      <c r="V51" s="680">
        <f t="shared" si="81"/>
        <v>2.7308100577611834</v>
      </c>
      <c r="W51" s="686">
        <f t="shared" si="81"/>
        <v>1.1702201919162847</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0.43235640000000003</v>
      </c>
      <c r="AH51" s="680">
        <f t="shared" si="81"/>
        <v>0</v>
      </c>
      <c r="AI51" s="686">
        <f>0.86*AI50/1000</f>
        <v>0</v>
      </c>
      <c r="AJ51" s="723">
        <f t="shared" ref="AJ51:AR51" si="82">0.86*AJ50/1000</f>
        <v>5.31867</v>
      </c>
      <c r="AK51" s="680">
        <f t="shared" si="82"/>
        <v>7.2021854184543344</v>
      </c>
      <c r="AL51" s="686">
        <f t="shared" si="82"/>
        <v>6.3575810247675166</v>
      </c>
      <c r="AM51" s="723">
        <f t="shared" si="82"/>
        <v>8.0588880000000014</v>
      </c>
      <c r="AN51" s="680">
        <f t="shared" si="82"/>
        <v>12.913560360464514</v>
      </c>
      <c r="AO51" s="686">
        <f t="shared" si="82"/>
        <v>11.062753771931515</v>
      </c>
      <c r="AP51" s="723">
        <f t="shared" si="82"/>
        <v>10.485378000000001</v>
      </c>
      <c r="AQ51" s="680">
        <f t="shared" si="82"/>
        <v>13.498215310537374</v>
      </c>
      <c r="AR51" s="686">
        <f t="shared" si="82"/>
        <v>14.285219631455174</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2" t="s">
        <v>1203</v>
      </c>
      <c r="B53" s="322" t="s">
        <v>842</v>
      </c>
      <c r="C53" s="333">
        <f>(IF(C138=0,0,B138/C138*D138)+IF(C139=0,0,B139/C139*D139)+IF(C140=0,0,B140/C140*D140))*0.024*$D$147</f>
        <v>8079.9681416254734</v>
      </c>
      <c r="D53" s="706">
        <f>C53*($D$38/$C$38)</f>
        <v>11439.084580072025</v>
      </c>
      <c r="E53" s="707">
        <f>C53*($E$38/$C$38)</f>
        <v>11608.62117888482</v>
      </c>
      <c r="F53" s="74"/>
      <c r="G53" s="334" t="s">
        <v>1203</v>
      </c>
      <c r="H53" s="326" t="s">
        <v>842</v>
      </c>
      <c r="I53" s="335">
        <f>(IF(C138=0,0,B138/C138*D138)+IF(C139=0,0,B139/C139*D139)+IF(C140=0,0,B140/C140*D140))*0.024*G$147</f>
        <v>1504.4632392653152</v>
      </c>
      <c r="J53" s="610">
        <f>I53*($J$38/$I$38)</f>
        <v>1871.3268806043807</v>
      </c>
      <c r="K53" s="708">
        <f>I53*($K$38/$I$38)</f>
        <v>2007.2073721396559</v>
      </c>
      <c r="L53" s="335">
        <f>(IF(C138=0,0,B138/C138*D138)+IF(C139=0,0,B139/C139*D139)+IF(C140=0,0,B140/C140*D140))*0.024*H$147</f>
        <v>1300.5806918356909</v>
      </c>
      <c r="M53" s="709">
        <f>L53*($M$38/$L$38)</f>
        <v>2074.6578213817033</v>
      </c>
      <c r="N53" s="708">
        <f>L53*($N$38/$L$38)</f>
        <v>2122.2712732949726</v>
      </c>
      <c r="O53" s="335">
        <f>(IF(C138=0,0,B138/C138*D138)+IF(C139=0,0,B139/C139*D139)+IF(C140=0,0,B140/C140*D140))*0.024*I$147</f>
        <v>1145.4894368668888</v>
      </c>
      <c r="P53" s="711">
        <f>O53*($P$38/$O$38)</f>
        <v>1244.0541783304352</v>
      </c>
      <c r="Q53" s="712">
        <f>O53*($Q$38/$O$38)</f>
        <v>1272.7646933765309</v>
      </c>
      <c r="R53" s="335">
        <f>(IF(C138=0,0,B138/C138*D138)+IF(C139=0,0,B139/C139*D139)+IF(C140=0,0,B140/C140*D140))*0.024*J$147</f>
        <v>694.78800464211565</v>
      </c>
      <c r="S53" s="711">
        <f>R53*($S$38/$R$38)</f>
        <v>1211.2606375247142</v>
      </c>
      <c r="T53" s="712">
        <f>R53*($T$38/$R$38)</f>
        <v>1378.7559538278683</v>
      </c>
      <c r="U53" s="335">
        <f>(IF(C138=0,0,B138/C138*D138)+IF(C139=0,0,B139/C139*D139)+IF(C140=0,0,B140/C140*D140))*0.024*K$147</f>
        <v>52.109100348158684</v>
      </c>
      <c r="V53" s="711">
        <f>IFERROR(U53*($V$38/$U$38),0)</f>
        <v>362.40922666444209</v>
      </c>
      <c r="W53" s="712">
        <f>IFERROR(U53*($W$38/$U$38),0)</f>
        <v>155.30138889527419</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57.378559933927534</v>
      </c>
      <c r="AH53" s="711">
        <f>IFERROR(AG53*($AH$38/$AG$38),)</f>
        <v>0</v>
      </c>
      <c r="AI53" s="712">
        <f>IFERROR(AG53*($AI$35/$AG$35),0)</f>
        <v>0</v>
      </c>
      <c r="AJ53" s="335">
        <f>(IF(C138=0,0,B138/C138*D138)+IF(C139=0,0,B139/C139*D139)+IF(C140=0,0,B140/C140*D140))*0.024*P$147</f>
        <v>705.84736426656877</v>
      </c>
      <c r="AK53" s="711">
        <f>AJ53*($AK$38/$AJ$38)</f>
        <v>955.81105700769308</v>
      </c>
      <c r="AL53" s="712">
        <f>IFERROR(AJ53*($AL$38/$AJ$38),0)</f>
        <v>843.7225489536487</v>
      </c>
      <c r="AM53" s="335">
        <f>(IF(C138=0,0,B138/C138*D138)+IF(C139=0,0,B139/C139*D139)+IF(C140=0,0,B140/C140*D140))*0.024*Q$147</f>
        <v>1069.5051307412343</v>
      </c>
      <c r="AN53" s="711">
        <f>AM53*($AN$38/$AM$38)</f>
        <v>1713.7747865032272</v>
      </c>
      <c r="AO53" s="712">
        <f>AM53*($AO$38/$AM$38)</f>
        <v>1468.1519235914056</v>
      </c>
      <c r="AP53" s="335">
        <f>(IF(C138=0,0,B138/C138*D138)+IF(C139=0,0,B139/C139*D139)+IF(C140=0,0,B140/C140*D140))*0.024*R$147</f>
        <v>1391.5276609826642</v>
      </c>
      <c r="AQ53" s="711">
        <f>AP53*($AQ$38/$AP$38)</f>
        <v>1791.365077969765</v>
      </c>
      <c r="AR53" s="712">
        <f>AP53*($AR$38/$AP$38)</f>
        <v>1895.8094081474653</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58" t="s">
        <v>874</v>
      </c>
      <c r="B54" s="359" t="s">
        <v>1184</v>
      </c>
      <c r="C54" s="558">
        <f>0.86*C53/1000</f>
        <v>6.9487726017979066</v>
      </c>
      <c r="D54" s="377">
        <f>0.86*D53/1000</f>
        <v>9.8376127388619423</v>
      </c>
      <c r="E54" s="676">
        <f>0.86*E53/1000</f>
        <v>9.9834142138409447</v>
      </c>
      <c r="F54" s="74"/>
      <c r="G54" s="379" t="s">
        <v>874</v>
      </c>
      <c r="H54" s="380" t="s">
        <v>1184</v>
      </c>
      <c r="I54" s="728">
        <f t="shared" ref="I54:O54" si="83">0.86*I53/1000</f>
        <v>1.293838385768171</v>
      </c>
      <c r="J54" s="680">
        <f t="shared" si="83"/>
        <v>1.6093411173197674</v>
      </c>
      <c r="K54" s="713">
        <f t="shared" si="83"/>
        <v>1.7261983400401042</v>
      </c>
      <c r="L54" s="728">
        <f t="shared" ref="L54" si="84">0.86*L53/1000</f>
        <v>1.1184993949786943</v>
      </c>
      <c r="M54" s="683">
        <f t="shared" si="83"/>
        <v>1.7842057263882647</v>
      </c>
      <c r="N54" s="681">
        <f t="shared" si="83"/>
        <v>1.8251532950336764</v>
      </c>
      <c r="O54" s="728">
        <f t="shared" si="83"/>
        <v>0.98512091570552429</v>
      </c>
      <c r="P54" s="717">
        <f t="shared" si="46"/>
        <v>1.0939817297433112</v>
      </c>
      <c r="Q54" s="718">
        <f t="shared" ref="Q54" si="85">O54*($Q$35/$O$35)</f>
        <v>1.1256913450981898</v>
      </c>
      <c r="R54" s="728">
        <f t="shared" ref="R54" si="86">0.86*R53/1000</f>
        <v>0.59751768399221938</v>
      </c>
      <c r="S54" s="725">
        <f>0.86*S53/1000</f>
        <v>1.0416841482712542</v>
      </c>
      <c r="T54" s="726">
        <f>0.86*T53/1000</f>
        <v>1.1857301202919668</v>
      </c>
      <c r="U54" s="728">
        <f t="shared" ref="U54:W54" si="87">0.86*U53/1000</f>
        <v>4.4813826299416472E-2</v>
      </c>
      <c r="V54" s="680">
        <f t="shared" si="87"/>
        <v>0.3116719349314202</v>
      </c>
      <c r="W54" s="686">
        <f t="shared" si="87"/>
        <v>0.1335591944499358</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4.934556154317768E-2</v>
      </c>
      <c r="AH54" s="680">
        <f t="shared" si="91"/>
        <v>0</v>
      </c>
      <c r="AI54" s="686">
        <f>0.86*AI53/1000</f>
        <v>0</v>
      </c>
      <c r="AJ54" s="728">
        <f t="shared" ref="AJ54" si="92">0.86*AJ53/1000</f>
        <v>0.60702873326924922</v>
      </c>
      <c r="AK54" s="680">
        <f t="shared" ref="AK54" si="93">0.86*AK53/1000</f>
        <v>0.82199750902661606</v>
      </c>
      <c r="AL54" s="686">
        <f t="shared" ref="AL54:AM54" si="94">0.86*AL53/1000</f>
        <v>0.72560139210013785</v>
      </c>
      <c r="AM54" s="728">
        <f t="shared" si="94"/>
        <v>0.9197744124374615</v>
      </c>
      <c r="AN54" s="680">
        <f t="shared" ref="AN54" si="95">0.86*AN53/1000</f>
        <v>1.4738463163927753</v>
      </c>
      <c r="AO54" s="686">
        <f t="shared" ref="AO54:AP54" si="96">0.86*AO53/1000</f>
        <v>1.2626106542886089</v>
      </c>
      <c r="AP54" s="728">
        <f t="shared" si="96"/>
        <v>1.1967137884450914</v>
      </c>
      <c r="AQ54" s="680">
        <f t="shared" ref="AQ54" si="97">0.86*AQ53/1000</f>
        <v>1.540573967053998</v>
      </c>
      <c r="AR54" s="686">
        <f t="shared" ref="AR54" si="98">0.86*AR53/1000</f>
        <v>1.63039609100682</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2" t="s">
        <v>1204</v>
      </c>
      <c r="B56" s="322" t="s">
        <v>842</v>
      </c>
      <c r="C56" s="333">
        <f>(IF(C142=0,0,B142/C142*D142)+IF(C141=0,0,B141/C141*D141))*0.024*$D$147</f>
        <v>36358.203616009065</v>
      </c>
      <c r="D56" s="706">
        <f>C56*($D$38/$C$38)</f>
        <v>51473.540372071242</v>
      </c>
      <c r="E56" s="707">
        <f>C56*($E$38/$C$38)</f>
        <v>52236.42038248192</v>
      </c>
      <c r="F56" s="74"/>
      <c r="G56" s="334" t="s">
        <v>1204</v>
      </c>
      <c r="H56" s="326" t="s">
        <v>842</v>
      </c>
      <c r="I56" s="335">
        <f>(IF(C142=0,0,B142/C142*D142)+IF(C141=0,0,B141/C141*D141))*0.024*G$147</f>
        <v>6769.7767896155092</v>
      </c>
      <c r="J56" s="610">
        <f>I56*($J$38/$I$38)</f>
        <v>8420.5881217048591</v>
      </c>
      <c r="K56" s="708">
        <f>I56*($K$35/$I$35)</f>
        <v>9503.5716367719087</v>
      </c>
      <c r="L56" s="335">
        <f>(IF(C142=0,0,B142/C142*D142)+IF(C141=0,0,B141/C141*D141))*0.024*H$147</f>
        <v>5852.3470370143259</v>
      </c>
      <c r="M56" s="709">
        <f>L56*($M$38/$L$38)</f>
        <v>9335.5357572198391</v>
      </c>
      <c r="N56" s="708">
        <f>L56*($N$38/$L$38)</f>
        <v>9549.7865499433155</v>
      </c>
      <c r="O56" s="335">
        <f>(IF(C142=0,0,B142/C142*D142)+IF(C141=0,0,B141/C141*D141))*0.024*I$147</f>
        <v>5154.4681186348653</v>
      </c>
      <c r="P56" s="711">
        <f>O56*($P$38/$O$38)</f>
        <v>5597.9892905846827</v>
      </c>
      <c r="Q56" s="712">
        <f>O56*($Q$38/$O$38)</f>
        <v>5727.1807346188216</v>
      </c>
      <c r="R56" s="335">
        <f>(IF(C142=0,0,B142/C142*D142)+IF(C141=0,0,B141/C141*D141))*0.024*J$147</f>
        <v>3126.4038793173763</v>
      </c>
      <c r="S56" s="711">
        <f>R56*($S$38/$R$38)</f>
        <v>5450.4250659484642</v>
      </c>
      <c r="T56" s="712">
        <f>R56*($T$38/$R$38)</f>
        <v>6204.1197226767526</v>
      </c>
      <c r="U56" s="335">
        <f>(IF(C142=0,0,B142/C142*D142)+IF(C141=0,0,B141/C141*D141))*0.024*K$147</f>
        <v>234.48029094880326</v>
      </c>
      <c r="V56" s="711">
        <f>IFERROR(U56*($V$38/$U$38),0)</f>
        <v>1630.7673773495098</v>
      </c>
      <c r="W56" s="712">
        <f>IFERROR(U56*($W$38/$U$38),0)</f>
        <v>698.82447805882896</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258.19178104474963</v>
      </c>
      <c r="AH56" s="711">
        <f>IFERROR(AG56*($AH$38/$AG$38),0)</f>
        <v>0</v>
      </c>
      <c r="AI56" s="712">
        <f>IFERROR(AG56*($AI$35/$AG$35),0)</f>
        <v>0</v>
      </c>
      <c r="AJ56" s="335">
        <f>(IF(C142=0,0,B142/C142*D142)+IF(C141=0,0,B141/C141*D141))*0.024*P$147</f>
        <v>3176.1687350743009</v>
      </c>
      <c r="AK56" s="711">
        <f>AJ56*($AK$38/$AJ$38)</f>
        <v>4300.9542141743477</v>
      </c>
      <c r="AL56" s="712">
        <f>AJ56*($AL$38/$AJ$38)</f>
        <v>3796.5788592953163</v>
      </c>
      <c r="AM56" s="335">
        <f>(IF(C142=0,0,B142/C142*D142)+IF(C141=0,0,B141/C141*D141))*0.024*Q$147</f>
        <v>4812.5542861402309</v>
      </c>
      <c r="AN56" s="711">
        <f>AM56*($AN$38/$AM$38)</f>
        <v>7711.6359306748118</v>
      </c>
      <c r="AO56" s="712">
        <f>AM56*($AO$38/$AM$38)</f>
        <v>6606.3832977481525</v>
      </c>
      <c r="AP56" s="335">
        <f>(IF(C142=0,0,B142/C142*D142)+IF(C141=0,0,B141/C141*D141))*0.024*R$147</f>
        <v>6261.5897920036214</v>
      </c>
      <c r="AQ56" s="711">
        <f>AP56*($AQ$38/$AP$38)</f>
        <v>8060.7763686466824</v>
      </c>
      <c r="AR56" s="712">
        <f>AP56*($AR$38/$AP$38)</f>
        <v>8530.7544869483427</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58" t="s">
        <v>874</v>
      </c>
      <c r="B57" s="359" t="s">
        <v>1184</v>
      </c>
      <c r="C57" s="558">
        <f>0.86*C56/1000</f>
        <v>31.268055109767797</v>
      </c>
      <c r="D57" s="377">
        <f>0.86*D56/1000</f>
        <v>44.267244719981264</v>
      </c>
      <c r="E57" s="676">
        <f>0.86*E56/1000</f>
        <v>44.923321528934451</v>
      </c>
      <c r="F57" s="74"/>
      <c r="G57" s="379" t="s">
        <v>874</v>
      </c>
      <c r="H57" s="380" t="s">
        <v>1184</v>
      </c>
      <c r="I57" s="728">
        <f t="shared" ref="I57:O57" si="99">0.86*I56/1000</f>
        <v>5.8220080390693374</v>
      </c>
      <c r="J57" s="680">
        <f t="shared" si="99"/>
        <v>7.2417057846661779</v>
      </c>
      <c r="K57" s="713">
        <f t="shared" si="99"/>
        <v>8.1730716076238412</v>
      </c>
      <c r="L57" s="728">
        <f t="shared" ref="L57" si="100">0.86*L56/1000</f>
        <v>5.0330184518323202</v>
      </c>
      <c r="M57" s="683">
        <f t="shared" si="99"/>
        <v>8.0285607512090618</v>
      </c>
      <c r="N57" s="681">
        <f t="shared" si="99"/>
        <v>8.2128164329512519</v>
      </c>
      <c r="O57" s="728">
        <f t="shared" si="99"/>
        <v>4.4328425820259847</v>
      </c>
      <c r="P57" s="717">
        <f t="shared" si="46"/>
        <v>4.9226939741620575</v>
      </c>
      <c r="Q57" s="718">
        <f t="shared" ref="Q57" si="101">O57*($Q$35/$O$35)</f>
        <v>5.0653807560218267</v>
      </c>
      <c r="R57" s="728">
        <f t="shared" ref="R57" si="102">0.86*R56/1000</f>
        <v>2.6887073362129437</v>
      </c>
      <c r="S57" s="725">
        <f>0.86*S56/1000</f>
        <v>4.6873655567156796</v>
      </c>
      <c r="T57" s="726">
        <f>0.86*T56/1000</f>
        <v>5.3355429615020071</v>
      </c>
      <c r="U57" s="728">
        <f t="shared" ref="U57:W57" si="103">0.86*U56/1000</f>
        <v>0.2016530502159708</v>
      </c>
      <c r="V57" s="680">
        <f t="shared" si="103"/>
        <v>1.4024599445205783</v>
      </c>
      <c r="W57" s="686">
        <f t="shared" si="103"/>
        <v>0.60098905113059287</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0.22204493169848469</v>
      </c>
      <c r="AH57" s="680">
        <f t="shared" si="107"/>
        <v>0</v>
      </c>
      <c r="AI57" s="686">
        <f>0.86*AI56/1000</f>
        <v>0</v>
      </c>
      <c r="AJ57" s="728">
        <f t="shared" ref="AJ57" si="108">0.86*AJ56/1000</f>
        <v>2.7315051121638989</v>
      </c>
      <c r="AK57" s="680">
        <f t="shared" ref="AK57" si="109">0.86*AK56/1000</f>
        <v>3.6988206241899388</v>
      </c>
      <c r="AL57" s="686">
        <f t="shared" ref="AL57:AM57" si="110">0.86*AL56/1000</f>
        <v>3.2650578189939718</v>
      </c>
      <c r="AM57" s="728">
        <f t="shared" si="110"/>
        <v>4.1387966860805978</v>
      </c>
      <c r="AN57" s="680">
        <f t="shared" ref="AN57" si="111">0.86*AN56/1000</f>
        <v>6.6320069003803379</v>
      </c>
      <c r="AO57" s="686">
        <f t="shared" ref="AO57:AP57" si="112">0.86*AO56/1000</f>
        <v>5.6814896360634108</v>
      </c>
      <c r="AP57" s="728">
        <f t="shared" si="112"/>
        <v>5.3849672211231141</v>
      </c>
      <c r="AQ57" s="680">
        <f t="shared" ref="AQ57" si="113">0.86*AQ56/1000</f>
        <v>6.9322676770361467</v>
      </c>
      <c r="AR57" s="686">
        <f t="shared" ref="AR57" si="114">0.86*AR56/1000</f>
        <v>7.336448858775575</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2" t="s">
        <v>1205</v>
      </c>
      <c r="B59" s="322" t="s">
        <v>842</v>
      </c>
      <c r="C59" s="333">
        <f>IF(C143=0,0,B143/C143*D143)*0.024*$D$147</f>
        <v>8785.6572631578965</v>
      </c>
      <c r="D59" s="706">
        <f>C59*($D$38/$C$38)</f>
        <v>12438.152572290886</v>
      </c>
      <c r="E59" s="707">
        <f>C59*($E$38/$C$38)</f>
        <v>12622.496176699091</v>
      </c>
      <c r="F59" s="74"/>
      <c r="G59" s="334" t="s">
        <v>1205</v>
      </c>
      <c r="H59" s="326" t="s">
        <v>842</v>
      </c>
      <c r="I59" s="343">
        <f>IF($C143=0,0,$B143/$C143*$D143)*0.024*G$147</f>
        <v>1635.8602105263158</v>
      </c>
      <c r="J59" s="610">
        <f>I59*($J$38/$I$38)</f>
        <v>2034.7650278008434</v>
      </c>
      <c r="K59" s="708">
        <f>I59*($K$38/$I$38)</f>
        <v>2182.5130642353283</v>
      </c>
      <c r="L59" s="335">
        <f>IF($C143=0,0,$B143/$C143*$D143)*0.024*H$147</f>
        <v>1414.1709473684214</v>
      </c>
      <c r="M59" s="709">
        <f>L59*($M$38/$L$38)</f>
        <v>2255.8545080256549</v>
      </c>
      <c r="N59" s="708">
        <f>L59*($N$35/$L$35)</f>
        <v>2503.2400294413924</v>
      </c>
      <c r="O59" s="335">
        <f>IF($C143=0,0,$B143/$C143*$D143)*0.024*I$147</f>
        <v>1245.5343157894738</v>
      </c>
      <c r="P59" s="711">
        <f>O59*($P$38/$O$38)</f>
        <v>1352.7075151823467</v>
      </c>
      <c r="Q59" s="712">
        <f>O59*($Q$38/$O$38)</f>
        <v>1383.9255522615115</v>
      </c>
      <c r="R59" s="335">
        <f>IF($C143=0,0,$B143/$C143*$D143)*0.024*J$147</f>
        <v>755.46947368421058</v>
      </c>
      <c r="S59" s="711">
        <f>R59*($S$38/$R$38)</f>
        <v>1317.0498486031704</v>
      </c>
      <c r="T59" s="712">
        <f>R59*($T$38/$R$38)</f>
        <v>1499.1738887516378</v>
      </c>
      <c r="U59" s="343">
        <f>IF($C143=0,0,$B143/$C143*$D143)*0.024*K$147</f>
        <v>56.660210526315801</v>
      </c>
      <c r="V59" s="711">
        <f>IFERROR(U59*($V$38/$U$38),0)</f>
        <v>394.06136245474795</v>
      </c>
      <c r="W59" s="712">
        <f>IFERROR(U59*($W$38/$U$38),0)</f>
        <v>168.86511820475926</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62.389894736842116</v>
      </c>
      <c r="AH59" s="711">
        <f>IFERROR(AG59*($AH$38/$AG$38),)</f>
        <v>0</v>
      </c>
      <c r="AI59" s="712">
        <f>IFERROR(AG59*($AI$35/$AG$35),0)</f>
        <v>0</v>
      </c>
      <c r="AJ59" s="335">
        <f>IF($C143=0,0,$B143/$C143*$D143)*0.024*P$147</f>
        <v>767.49473684210534</v>
      </c>
      <c r="AK59" s="711">
        <f>AJ59*($AK$38/$AJ$38)</f>
        <v>1039.2897853081049</v>
      </c>
      <c r="AL59" s="712">
        <f>AJ59*($AL$38/$AJ$38)</f>
        <v>917.41167915217659</v>
      </c>
      <c r="AM59" s="335">
        <f>IF($C143=0,0,$B143/$C143*$D143)*0.024*Q$147</f>
        <v>1162.9136842105265</v>
      </c>
      <c r="AN59" s="711">
        <f>AM59*($AN$38/$AM$38)</f>
        <v>1863.4526320582693</v>
      </c>
      <c r="AO59" s="712">
        <f>AM59*($AO$38/$AM$38)</f>
        <v>1596.3775332813627</v>
      </c>
      <c r="AP59" s="335">
        <f>IF($C143=0,0,$B143/$C143*$D143)*0.024*R$147</f>
        <v>1513.0610526315791</v>
      </c>
      <c r="AQ59" s="711">
        <f>AP59*($AQ$38/$AP$38)</f>
        <v>1947.8195126975274</v>
      </c>
      <c r="AR59" s="712">
        <f>AP59*($AR$38/$AP$38)</f>
        <v>2061.3858129523669</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58" t="s">
        <v>874</v>
      </c>
      <c r="B60" s="359" t="s">
        <v>1184</v>
      </c>
      <c r="C60" s="731"/>
      <c r="D60" s="377">
        <f>0.86*D59/1000</f>
        <v>10.696811212170161</v>
      </c>
      <c r="E60" s="676">
        <f>0.86*E59/1000</f>
        <v>10.855346711961218</v>
      </c>
      <c r="F60" s="74"/>
      <c r="G60" s="379" t="s">
        <v>874</v>
      </c>
      <c r="H60" s="380" t="s">
        <v>1184</v>
      </c>
      <c r="I60" s="728">
        <f t="shared" ref="I60:W60" si="115">0.86*I59/1000</f>
        <v>1.4068397810526314</v>
      </c>
      <c r="J60" s="680">
        <f t="shared" si="115"/>
        <v>1.7498979239087253</v>
      </c>
      <c r="K60" s="713">
        <f t="shared" si="115"/>
        <v>1.8769612352423823</v>
      </c>
      <c r="L60" s="728">
        <f t="shared" ref="L60" si="116">0.86*L59/1000</f>
        <v>1.2161870147368425</v>
      </c>
      <c r="M60" s="683">
        <f t="shared" si="115"/>
        <v>1.9400348769020632</v>
      </c>
      <c r="N60" s="681">
        <f t="shared" si="115"/>
        <v>2.1527864253195976</v>
      </c>
      <c r="O60" s="728">
        <f t="shared" si="115"/>
        <v>1.0711595115789476</v>
      </c>
      <c r="P60" s="683">
        <f t="shared" si="115"/>
        <v>1.1633284630568181</v>
      </c>
      <c r="Q60" s="681">
        <f t="shared" si="115"/>
        <v>1.1901759749448999</v>
      </c>
      <c r="R60" s="728">
        <f t="shared" si="115"/>
        <v>0.64970374736842107</v>
      </c>
      <c r="S60" s="725">
        <f t="shared" si="115"/>
        <v>1.1326628697987264</v>
      </c>
      <c r="T60" s="726">
        <f t="shared" si="115"/>
        <v>1.2892895443264085</v>
      </c>
      <c r="U60" s="728">
        <f t="shared" si="115"/>
        <v>4.8727781052631584E-2</v>
      </c>
      <c r="V60" s="680">
        <f t="shared" si="115"/>
        <v>0.33889277171108323</v>
      </c>
      <c r="W60" s="686">
        <f t="shared" si="115"/>
        <v>0.14522400165609295</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5.3655309473684222E-2</v>
      </c>
      <c r="AH60" s="680">
        <f t="shared" si="120"/>
        <v>0</v>
      </c>
      <c r="AI60" s="686">
        <f>0.86*AI59/1000</f>
        <v>0</v>
      </c>
      <c r="AJ60" s="728">
        <f t="shared" ref="AJ60" si="121">0.86*AJ59/1000</f>
        <v>0.66004547368421063</v>
      </c>
      <c r="AK60" s="680">
        <f t="shared" ref="AK60" si="122">0.86*AK59/1000</f>
        <v>0.89378921536497025</v>
      </c>
      <c r="AL60" s="686">
        <f t="shared" ref="AL60:AM60" si="123">0.86*AL59/1000</f>
        <v>0.7889740440708719</v>
      </c>
      <c r="AM60" s="728">
        <f t="shared" si="123"/>
        <v>1.0001057684210528</v>
      </c>
      <c r="AN60" s="680">
        <f t="shared" ref="AN60" si="124">0.86*AN59/1000</f>
        <v>1.6025692635701116</v>
      </c>
      <c r="AO60" s="686">
        <f t="shared" ref="AO60:AP60" si="125">0.86*AO59/1000</f>
        <v>1.3728846786219719</v>
      </c>
      <c r="AP60" s="728">
        <f t="shared" si="125"/>
        <v>1.3012325052631579</v>
      </c>
      <c r="AQ60" s="680">
        <f t="shared" ref="AQ60" si="126">0.86*AQ59/1000</f>
        <v>1.6751247809198735</v>
      </c>
      <c r="AR60" s="686">
        <f t="shared" ref="AR60" si="127">0.86*AR59/1000</f>
        <v>1.7727917991390354</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29" t="s">
        <v>1198</v>
      </c>
      <c r="B62" s="322" t="s">
        <v>842</v>
      </c>
      <c r="C62" s="324">
        <f>(D151*D152*'Ввод исходных данных'!$D$22*0.28)*D147*0.024+D154*D192+D161</f>
        <v>1020720.168646925</v>
      </c>
      <c r="D62" s="672">
        <f>C62*(($D$35+$D$71)/($C$35+$C$71))</f>
        <v>1445068.1162449038</v>
      </c>
      <c r="E62" s="672">
        <f>$C62*(($E$35+$E$71)/($C$35+$C$71))</f>
        <v>1466485.2088248264</v>
      </c>
      <c r="F62" s="74"/>
      <c r="G62" s="344" t="s">
        <v>1198</v>
      </c>
      <c r="H62" s="326" t="s">
        <v>842</v>
      </c>
      <c r="I62" s="328">
        <f>($D$151*$D$152*'Ввод исходных данных'!$D$22*0.28)*G$147*0.024+G192*$D$154+G161</f>
        <v>190054.70620544584</v>
      </c>
      <c r="J62" s="672">
        <f>I62*((J$35+J$71)/(I$35+I$71))</f>
        <v>236399.58174139116</v>
      </c>
      <c r="K62" s="672">
        <f>IFERROR(I62*((K$35+K$71)/(I$35+I$71)),0)</f>
        <v>253564.99078814159</v>
      </c>
      <c r="L62" s="328">
        <f>($D$151*$D$152*'Ввод исходных данных'!$D$22*0.28)*H$147*0.024+H192*$D$154+H161</f>
        <v>164298.78433188936</v>
      </c>
      <c r="M62" s="672">
        <f>L62*((M$35+M$71)/(L$35+L$71))</f>
        <v>262085.82066257755</v>
      </c>
      <c r="N62" s="672">
        <f>IFERROR(L62*((N$35+N$71)/(L$35+L$71)),0)</f>
        <v>268100.69718373637</v>
      </c>
      <c r="O62" s="328">
        <f>($D$151*$D$152*'Ввод исходных данных'!$D$22*0.28)*I$147*0.024+I192*$D$154+I161</f>
        <v>144706.53233873087</v>
      </c>
      <c r="P62" s="672">
        <f>O62*((P$35+P$71)/(O$35+O$71))</f>
        <v>157157.94523614267</v>
      </c>
      <c r="Q62" s="672">
        <f>IFERROR(O62*((Q$35+Q$71)/(O$35+O$71)),0)</f>
        <v>160784.86569500173</v>
      </c>
      <c r="R62" s="328">
        <f>($D$151*$D$152*'Ввод исходных данных'!$D$22*0.28)*J$147*0.024+J192*$D$154+J161</f>
        <v>87770.659096867661</v>
      </c>
      <c r="S62" s="672">
        <f>R62*((S$35+S$71)/(R$35+R$71))</f>
        <v>153015.22735470661</v>
      </c>
      <c r="T62" s="672">
        <f>IFERROR(R62*((T$35+T$71)/(R$35+R$71)),0)</f>
        <v>174174.4503253719</v>
      </c>
      <c r="U62" s="328">
        <f>($D$151*$D$152*'Ввод исходных данных'!$D$22*0.28)*K$147*0.024+K192*$D$154+K161</f>
        <v>6582.7994322650757</v>
      </c>
      <c r="V62" s="672">
        <f>IFERROR(U62*((V$35+V$71)/(U$35+U$71)),0)</f>
        <v>45782.161572448138</v>
      </c>
      <c r="W62" s="672">
        <f>IFERROR(U62*((W$35+W$71)/(U$35+U$71)),0)</f>
        <v>19618.797634565439</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7248.4757793480603</v>
      </c>
      <c r="AH62" s="672">
        <f>IFERROR(AG62*((AH$35+AH$71)/(AG$35+AG$71)),0)</f>
        <v>0</v>
      </c>
      <c r="AI62" s="672">
        <f>IFERROR(AG62*((AI$35+AI$71)/(AG$35+AG$71)),0)</f>
        <v>0</v>
      </c>
      <c r="AJ62" s="328">
        <f>($D$151*$D$152*'Ввод исходных данных'!$D$22*0.28)*P$147*0.024+P192*$D$154+P161</f>
        <v>89167.757603091217</v>
      </c>
      <c r="AK62" s="672">
        <f>IFERROR(AJ62*((AK$35+AK$71)/(AJ$35+AJ$71)),0)</f>
        <v>120744.98391613962</v>
      </c>
      <c r="AL62" s="672">
        <f>IFERROR(AJ62*((AL$35+AL$71)/(AJ$35+AJ$71)),0)</f>
        <v>106585.15075356849</v>
      </c>
      <c r="AM62" s="328">
        <f>($D$151*$D$152*'Ввод исходных данных'!$D$22*0.28)*Q$147*0.024+Q192*$D$154+Q161</f>
        <v>135107.64377832439</v>
      </c>
      <c r="AN62" s="672">
        <f>IFERROR(AM62*((AN$35+AN$71)/(AM$35+AM$71)),0)</f>
        <v>216496.45870392164</v>
      </c>
      <c r="AO62" s="672">
        <f>IFERROR(AM62*((AO$35+AO$71)/(AM$35+AM$71)),0)</f>
        <v>185467.59749303345</v>
      </c>
      <c r="AP62" s="328">
        <f>($D$151*$D$152*'Ввод исходных данных'!$D$22*0.28)*R$147*0.024+R192*$D$154+R161</f>
        <v>175787.86498895125</v>
      </c>
      <c r="AQ62" s="672">
        <f>IFERROR(AP62*((AQ$35+AQ$71)/(AP$35+AP$71)),0)</f>
        <v>226298.2269786114</v>
      </c>
      <c r="AR62" s="672">
        <f>IFERROR(AP62*((AR$35+AR$71)/(AP$35+AP$71)),0)</f>
        <v>239492.39215903883</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58" t="s">
        <v>874</v>
      </c>
      <c r="B63" s="359" t="s">
        <v>1184</v>
      </c>
      <c r="C63" s="658">
        <f>0.86*C62/1000</f>
        <v>877.81934503635557</v>
      </c>
      <c r="D63" s="377">
        <f>0.86*D62/1000</f>
        <v>1242.7585799706173</v>
      </c>
      <c r="E63" s="732">
        <f>0.86*E62/1000</f>
        <v>1261.1772795893507</v>
      </c>
      <c r="F63" s="74"/>
      <c r="G63" s="379" t="s">
        <v>874</v>
      </c>
      <c r="H63" s="380" t="s">
        <v>1184</v>
      </c>
      <c r="I63" s="728">
        <f t="shared" ref="I63:O63" si="128">0.86*I62/1000</f>
        <v>163.4470473366834</v>
      </c>
      <c r="J63" s="680">
        <f t="shared" si="128"/>
        <v>203.30364029759639</v>
      </c>
      <c r="K63" s="713">
        <f t="shared" si="128"/>
        <v>218.06589207780175</v>
      </c>
      <c r="L63" s="733">
        <f t="shared" si="128"/>
        <v>141.29695452542484</v>
      </c>
      <c r="M63" s="683">
        <f t="shared" si="128"/>
        <v>225.39380576981668</v>
      </c>
      <c r="N63" s="681">
        <f t="shared" si="128"/>
        <v>230.56659957801327</v>
      </c>
      <c r="O63" s="370">
        <f t="shared" si="128"/>
        <v>124.44761781130855</v>
      </c>
      <c r="P63" s="717">
        <f t="shared" ref="P63:P66" si="129">O63*($P$35/$O$35)</f>
        <v>138.19970525968031</v>
      </c>
      <c r="Q63" s="718">
        <f t="shared" ref="Q63" si="130">O63*($Q$35/$O$35)</f>
        <v>142.20549381793191</v>
      </c>
      <c r="R63" s="685">
        <f>0.86*R62/1000</f>
        <v>75.482766823306179</v>
      </c>
      <c r="S63" s="725">
        <f>0.86*S62/1000</f>
        <v>131.59309552504769</v>
      </c>
      <c r="T63" s="726">
        <f>0.86*T62/1000</f>
        <v>149.79002727981984</v>
      </c>
      <c r="U63" s="370">
        <f>0.86*U62/1000</f>
        <v>5.661207511747965</v>
      </c>
      <c r="V63" s="680">
        <f t="shared" ref="V63:W63" si="131">0.86*V62/1000</f>
        <v>39.3726589523054</v>
      </c>
      <c r="W63" s="686">
        <f t="shared" si="131"/>
        <v>16.872165965726275</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6.2336891702393311</v>
      </c>
      <c r="AH63" s="680">
        <f t="shared" ref="AH63" si="135">0.86*AH62/1000</f>
        <v>0</v>
      </c>
      <c r="AI63" s="686">
        <f>0.86*AI62/1000</f>
        <v>0</v>
      </c>
      <c r="AJ63" s="682">
        <f>0.86*AJ62/1000</f>
        <v>76.68427153865845</v>
      </c>
      <c r="AK63" s="680">
        <f t="shared" ref="AK63" si="136">0.86*AK62/1000</f>
        <v>103.84068616788008</v>
      </c>
      <c r="AL63" s="686">
        <f t="shared" ref="AL63" si="137">0.86*AL62/1000</f>
        <v>91.663229648068892</v>
      </c>
      <c r="AM63" s="685">
        <f>0.86*AM62/1000</f>
        <v>116.19257364935898</v>
      </c>
      <c r="AN63" s="680">
        <f t="shared" ref="AN63" si="138">0.86*AN62/1000</f>
        <v>186.18695448537261</v>
      </c>
      <c r="AO63" s="686">
        <f t="shared" ref="AO63" si="139">0.86*AO62/1000</f>
        <v>159.50213384400877</v>
      </c>
      <c r="AP63" s="685">
        <f>0.86*AP62/1000</f>
        <v>151.17756389049808</v>
      </c>
      <c r="AQ63" s="680">
        <f t="shared" ref="AQ63" si="140">0.86*AQ62/1000</f>
        <v>194.61647520160582</v>
      </c>
      <c r="AR63" s="686">
        <f t="shared" ref="AR63" si="141">0.86*AR62/1000</f>
        <v>205.96345725677341</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1" t="s">
        <v>1206</v>
      </c>
      <c r="B65" s="650" t="s">
        <v>842</v>
      </c>
      <c r="C65" s="324">
        <f>(C62+C38-C71*$D$156)*($D$158-1)</f>
        <v>243135.16796547777</v>
      </c>
      <c r="D65" s="672">
        <f>C65*(($D$35+$D$71)/($C$35+$C$71))</f>
        <v>344214.69268164801</v>
      </c>
      <c r="E65" s="672">
        <f>$C65*(($E$35+$E$71)/($C$35+$C$71))</f>
        <v>349316.23624050064</v>
      </c>
      <c r="F65" s="74"/>
      <c r="G65" s="735" t="s">
        <v>1206</v>
      </c>
      <c r="H65" s="736" t="s">
        <v>842</v>
      </c>
      <c r="I65" s="347">
        <f>(I62+I38-I71*$D$156)*($D$158-1)</f>
        <v>47086.534426300699</v>
      </c>
      <c r="J65" s="672">
        <f>I65*((J$35+J$71)/(I$35+I$71))</f>
        <v>58568.594623468183</v>
      </c>
      <c r="K65" s="672">
        <f>IFERROR(I65*((K$35+K$71)/(I$35+I$71)),0)</f>
        <v>62821.368154619966</v>
      </c>
      <c r="L65" s="349">
        <f>(L62+L38-L71*$D$156)*($D$158-1)</f>
        <v>40490.587402316174</v>
      </c>
      <c r="M65" s="672">
        <f>L65*((M$35+M$71)/(L$35+L$71))</f>
        <v>64589.697797210873</v>
      </c>
      <c r="N65" s="672">
        <f>IFERROR(L65*((N$35+N$71)/(L$35+L$71)),0)</f>
        <v>66072.033071233047</v>
      </c>
      <c r="O65" s="737">
        <f>(O62+O38-O71*$D$156)*($D$158-1)</f>
        <v>34528.246150963525</v>
      </c>
      <c r="P65" s="672">
        <f>O65*((P$35+P$71)/(O$35+O$71))</f>
        <v>37499.262334550462</v>
      </c>
      <c r="Q65" s="672">
        <f>IFERROR(O65*((Q$35+Q$71)/(O$35+O$71)),0)</f>
        <v>38364.677325494398</v>
      </c>
      <c r="R65" s="737">
        <f>(R62+R38-R71*$D$156)*($D$158-1)</f>
        <v>18939.855203878386</v>
      </c>
      <c r="S65" s="672">
        <f>R65*((S$35+S$71)/(R$35+R$71))</f>
        <v>33018.850261659943</v>
      </c>
      <c r="T65" s="672">
        <f>IFERROR(R65*((T$35+T$71)/(R$35+R$71)),0)</f>
        <v>37584.75672077277</v>
      </c>
      <c r="U65" s="374">
        <f>(U62+U38-U71*$D$156)*($D$158-1)</f>
        <v>34.140930290879865</v>
      </c>
      <c r="V65" s="672">
        <f>IFERROR(U65*((V$35+V$71)/(U$35+U$71)),0)</f>
        <v>237.44390253629868</v>
      </c>
      <c r="W65" s="672">
        <f>IFERROR(U65*((W$35+W$71)/(U$35+U$71)),0)</f>
        <v>101.75063198030698</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2007.3233524551244</v>
      </c>
      <c r="AH65" s="672">
        <f>IFERROR(AG65*((AH$35+AH$71)/(AG$35+AG$71)),0)</f>
        <v>0</v>
      </c>
      <c r="AI65" s="672">
        <f>IFERROR(AG65*((AI$35+AI$71)/(AG$35+AG$71)),0)</f>
        <v>0</v>
      </c>
      <c r="AJ65" s="737">
        <f>(AJ62+AJ38-AJ71*$D$156)*($D$158-1)</f>
        <v>19326.754262741615</v>
      </c>
      <c r="AK65" s="672">
        <f>IFERROR(AJ65*((AK$35+AK$71)/(AJ$35+AJ$71)),0)</f>
        <v>26170.991570668579</v>
      </c>
      <c r="AL65" s="672">
        <f>IFERROR(AJ65*((AL$35+AL$71)/(AJ$35+AJ$71)),0)</f>
        <v>23101.904455653537</v>
      </c>
      <c r="AM65" s="347">
        <f>(AM62+AM38-AM71*$D$156)*($D$158-1)</f>
        <v>32048.905668891435</v>
      </c>
      <c r="AN65" s="672">
        <f>IFERROR(AM65*((AN$35+AN$71)/(AM$35+AM$71)),0)</f>
        <v>51355.159401900462</v>
      </c>
      <c r="AO65" s="672">
        <f>IFERROR(AM65*((AO$35+AO$71)/(AM$35+AM$71)),0)</f>
        <v>43994.798299071284</v>
      </c>
      <c r="AP65" s="740">
        <f>(AP62+AP38-AP71*$D$156)*($D$158-1)</f>
        <v>43135.612272262035</v>
      </c>
      <c r="AQ65" s="672">
        <f>IFERROR(AP65*((AQ$35+AQ$71)/(AP$35+AP$71)),0)</f>
        <v>55530.070733058092</v>
      </c>
      <c r="AR65" s="672">
        <f>IFERROR(AP65*((AR$35+AR$71)/(AP$35+AP$71)),0)</f>
        <v>58767.713977174346</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58" t="s">
        <v>874</v>
      </c>
      <c r="B66" s="359" t="s">
        <v>1184</v>
      </c>
      <c r="C66" s="658">
        <f>0.86*C65/1000</f>
        <v>209.09624445031088</v>
      </c>
      <c r="D66" s="377">
        <f>0.86*D65/1000</f>
        <v>296.02463570621728</v>
      </c>
      <c r="E66" s="732">
        <f>0.86*E65/1000</f>
        <v>300.41196316683056</v>
      </c>
      <c r="F66" s="74"/>
      <c r="G66" s="379" t="s">
        <v>874</v>
      </c>
      <c r="H66" s="380" t="s">
        <v>1184</v>
      </c>
      <c r="I66" s="723">
        <f t="shared" ref="I66:O66" si="142">0.86*I65/1000</f>
        <v>40.4944196066186</v>
      </c>
      <c r="J66" s="680">
        <f t="shared" si="142"/>
        <v>50.368991376182642</v>
      </c>
      <c r="K66" s="724">
        <f t="shared" si="142"/>
        <v>54.026376612973166</v>
      </c>
      <c r="L66" s="741">
        <f t="shared" si="142"/>
        <v>34.821905165991907</v>
      </c>
      <c r="M66" s="683">
        <f t="shared" si="142"/>
        <v>55.547140105601351</v>
      </c>
      <c r="N66" s="681">
        <f t="shared" si="142"/>
        <v>56.821948441260425</v>
      </c>
      <c r="O66" s="728">
        <f t="shared" si="142"/>
        <v>29.694291689828631</v>
      </c>
      <c r="P66" s="717">
        <f t="shared" si="129"/>
        <v>32.975660214336258</v>
      </c>
      <c r="Q66" s="718">
        <f t="shared" ref="Q66" si="143">O66*($Q$35/$O$35)</f>
        <v>33.93147645243296</v>
      </c>
      <c r="R66" s="742">
        <f>0.86*R65/1000</f>
        <v>16.288275475335411</v>
      </c>
      <c r="S66" s="725">
        <f>0.86*S65/1000</f>
        <v>28.39621122502755</v>
      </c>
      <c r="T66" s="726">
        <f>0.86*T65/1000</f>
        <v>32.322890779864579</v>
      </c>
      <c r="U66" s="685">
        <f>0.86*U65/1000</f>
        <v>2.9361200050156681E-2</v>
      </c>
      <c r="V66" s="680">
        <f t="shared" ref="V66:W66" si="144">0.86*V65/1000</f>
        <v>0.20420175618121686</v>
      </c>
      <c r="W66" s="686">
        <f t="shared" si="144"/>
        <v>8.7505543503063998E-2</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1.7262980831114072</v>
      </c>
      <c r="AH66" s="680">
        <f t="shared" ref="AH66" si="148">0.86*AH65/1000</f>
        <v>0</v>
      </c>
      <c r="AI66" s="686">
        <f>0.86*AI65/1000</f>
        <v>0</v>
      </c>
      <c r="AJ66" s="723">
        <f t="shared" ref="AJ66" si="149">0.86*AJ65/1000</f>
        <v>16.621008665957792</v>
      </c>
      <c r="AK66" s="680">
        <f t="shared" ref="AK66" si="150">0.86*AK65/1000</f>
        <v>22.507052750774974</v>
      </c>
      <c r="AL66" s="724">
        <f t="shared" ref="AL66" si="151">0.86*AL65/1000</f>
        <v>19.867637831862041</v>
      </c>
      <c r="AM66" s="682">
        <f>0.86*AM65/1000</f>
        <v>27.562058875246635</v>
      </c>
      <c r="AN66" s="680">
        <f t="shared" ref="AN66" si="152">0.86*AN65/1000</f>
        <v>44.165437085634395</v>
      </c>
      <c r="AO66" s="686">
        <f t="shared" ref="AO66" si="153">0.86*AO65/1000</f>
        <v>37.835526537201304</v>
      </c>
      <c r="AP66" s="688">
        <f>0.86*AP65/1000</f>
        <v>37.096626554145345</v>
      </c>
      <c r="AQ66" s="680">
        <f t="shared" ref="AQ66" si="154">0.86*AQ65/1000</f>
        <v>47.755860830429953</v>
      </c>
      <c r="AR66" s="686">
        <f t="shared" ref="AR66" si="155">0.86*AR65/1000</f>
        <v>50.540234020369937</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5" t="s">
        <v>874</v>
      </c>
      <c r="B67" s="386" t="s">
        <v>1181</v>
      </c>
      <c r="C67" s="620"/>
      <c r="D67" s="690"/>
      <c r="E67" s="734">
        <f>(E65/$E$35)*100</f>
        <v>10.579002979085503</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1" t="s">
        <v>1200</v>
      </c>
      <c r="B68" s="650" t="s">
        <v>842</v>
      </c>
      <c r="C68" s="348">
        <f>C71*(1-$D$156)</f>
        <v>304102.18800000002</v>
      </c>
      <c r="D68" s="672">
        <f>C68*(($D$35+$D$71)/($C$35+$C$71))</f>
        <v>430527.76799899031</v>
      </c>
      <c r="E68" s="672">
        <f>$C68*(($E$35+$E$71)/($C$35+$C$71))</f>
        <v>436908.54199974972</v>
      </c>
      <c r="F68" s="74"/>
      <c r="G68" s="735" t="s">
        <v>1200</v>
      </c>
      <c r="H68" s="736" t="s">
        <v>842</v>
      </c>
      <c r="I68" s="327">
        <f>I71*(1-$D$156)</f>
        <v>42656.868000000002</v>
      </c>
      <c r="J68" s="672">
        <f>I68*((J$35+J$71)/(I$35+I$71))</f>
        <v>53058.75321338811</v>
      </c>
      <c r="K68" s="672">
        <f>IFERROR(I68*((K$35+K$71)/(I$35+I$71)),0)</f>
        <v>56911.447011360782</v>
      </c>
      <c r="L68" s="349">
        <f>L71*(1-$D$156)</f>
        <v>38528.784</v>
      </c>
      <c r="M68" s="672">
        <f>L68*((M$35+M$71)/(L$35+L$71))</f>
        <v>61460.271996737218</v>
      </c>
      <c r="N68" s="672">
        <f>IFERROR(L68*((N$35+N$71)/(L$35+L$71)),0)</f>
        <v>62870.786865808092</v>
      </c>
      <c r="O68" s="347">
        <f>O71*(1-$D$156)</f>
        <v>42656.868000000002</v>
      </c>
      <c r="P68" s="672">
        <f>O68*((P$35+P$71)/(O$35+O$71))</f>
        <v>46327.319276761278</v>
      </c>
      <c r="Q68" s="672">
        <f>IFERROR(O68*((Q$35+Q$71)/(O$35+O$71)),0)</f>
        <v>47396.469817235127</v>
      </c>
      <c r="R68" s="349">
        <f>R71*(1-$D$156)</f>
        <v>41280.840000000004</v>
      </c>
      <c r="S68" s="672">
        <f>R68*((S$35+S$71)/(R$35+R$71))</f>
        <v>71967.069439708619</v>
      </c>
      <c r="T68" s="672">
        <f>IFERROR(R68*((T$35+T$71)/(R$35+R$71)),0)</f>
        <v>81918.806238361984</v>
      </c>
      <c r="U68" s="744">
        <f>U71*(1-$D$156)</f>
        <v>13760.28</v>
      </c>
      <c r="V68" s="672">
        <f>IFERROR(U68*((V$35+V$71)/(U$35+U$71)),0)</f>
        <v>95700.221269746093</v>
      </c>
      <c r="W68" s="672">
        <f>IFERROR(U68*((W$35+W$71)/(U$35+U$71)),0)</f>
        <v>41009.930728220213</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41280.840000000004</v>
      </c>
      <c r="AK68" s="672">
        <f>IFERROR(AJ68*((AK$35+AK$71)/(AJ$35+AJ$71)),0)</f>
        <v>55899.738827478774</v>
      </c>
      <c r="AL68" s="672">
        <f>IFERROR(AJ68*((AL$35+AL$71)/(AJ$35+AJ$71)),0)</f>
        <v>49344.344558031218</v>
      </c>
      <c r="AM68" s="327">
        <f>AM71*(1-$D$156)</f>
        <v>41280.840000000004</v>
      </c>
      <c r="AN68" s="672">
        <f>IFERROR(AM68*((AN$35+AN$71)/(AM$35+AM$71)),0)</f>
        <v>66148.40894558627</v>
      </c>
      <c r="AO68" s="672">
        <f>IFERROR(AM68*((AO$35+AO$71)/(AM$35+AM$71)),0)</f>
        <v>56667.839088780158</v>
      </c>
      <c r="AP68" s="746">
        <f>AP71*(1-$D$156)</f>
        <v>42656.868000000002</v>
      </c>
      <c r="AQ68" s="672">
        <f>IFERROR(AP68*((AQ$35+AQ$71)/(AP$35+AP$71)),0)</f>
        <v>54913.765506324307</v>
      </c>
      <c r="AR68" s="672">
        <f>IFERROR(AP68*((AR$35+AR$71)/(AP$35+AP$71)),0)</f>
        <v>58115.475490725476</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58" t="s">
        <v>874</v>
      </c>
      <c r="B69" s="359" t="s">
        <v>1184</v>
      </c>
      <c r="C69" s="361">
        <f>0.86*C68/1000</f>
        <v>261.52788168000001</v>
      </c>
      <c r="D69" s="367">
        <f>0.86*D68/1000</f>
        <v>370.25388047913162</v>
      </c>
      <c r="E69" s="747">
        <f>0.86*E68/1000</f>
        <v>375.74134611978474</v>
      </c>
      <c r="F69" s="74"/>
      <c r="G69" s="379" t="s">
        <v>874</v>
      </c>
      <c r="H69" s="380" t="s">
        <v>1184</v>
      </c>
      <c r="I69" s="748">
        <f>0.86*I68/1000</f>
        <v>36.684906479999995</v>
      </c>
      <c r="J69" s="749">
        <f t="shared" ref="J69:M69" si="156">0.86*J68/1000</f>
        <v>45.630527763513776</v>
      </c>
      <c r="K69" s="750">
        <f t="shared" si="156"/>
        <v>48.943844429770273</v>
      </c>
      <c r="L69" s="741">
        <f>0.86*L68/1000</f>
        <v>33.134754239999999</v>
      </c>
      <c r="M69" s="749">
        <f t="shared" si="156"/>
        <v>52.855833917194012</v>
      </c>
      <c r="N69" s="750">
        <f t="shared" ref="N69" si="157">0.86*N68/1000</f>
        <v>54.068876704594956</v>
      </c>
      <c r="O69" s="682">
        <f>0.86*O68/1000</f>
        <v>36.684906479999995</v>
      </c>
      <c r="P69" s="749">
        <f t="shared" ref="P69" si="158">0.86*P68/1000</f>
        <v>39.841494578014697</v>
      </c>
      <c r="Q69" s="750">
        <f t="shared" ref="Q69" si="159">0.86*Q68/1000</f>
        <v>40.760964042822209</v>
      </c>
      <c r="R69" s="743">
        <f>0.86*R68/1000</f>
        <v>35.501522399999999</v>
      </c>
      <c r="S69" s="749">
        <f t="shared" ref="S69" si="160">0.86*S68/1000</f>
        <v>61.891679718149412</v>
      </c>
      <c r="T69" s="750">
        <f t="shared" ref="T69" si="161">0.86*T68/1000</f>
        <v>70.450173364991301</v>
      </c>
      <c r="U69" s="751">
        <f>0.86*U68/1000</f>
        <v>11.833840800000001</v>
      </c>
      <c r="V69" s="680">
        <f t="shared" ref="V69:W69" si="162">0.86*V68/1000</f>
        <v>82.302190291981631</v>
      </c>
      <c r="W69" s="686">
        <f t="shared" si="162"/>
        <v>35.268540426269382</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35.501522399999999</v>
      </c>
      <c r="AK69" s="749">
        <f t="shared" ref="AK69" si="167">0.86*AK68/1000</f>
        <v>48.073775391631742</v>
      </c>
      <c r="AL69" s="724">
        <f t="shared" ref="AL69" si="168">0.86*AL68/1000</f>
        <v>42.436136319906844</v>
      </c>
      <c r="AM69" s="723">
        <f>0.86*AM68/1000</f>
        <v>35.501522399999999</v>
      </c>
      <c r="AN69" s="680">
        <f t="shared" ref="AN69:AO69" si="169">0.86*AN68/1000</f>
        <v>56.887631693204192</v>
      </c>
      <c r="AO69" s="752">
        <f t="shared" si="169"/>
        <v>48.734341616350932</v>
      </c>
      <c r="AP69" s="753">
        <f>0.86*AP68/1000</f>
        <v>36.684906479999995</v>
      </c>
      <c r="AQ69" s="680">
        <f t="shared" ref="AQ69:AR69" si="170">0.86*AQ68/1000</f>
        <v>47.225838335438901</v>
      </c>
      <c r="AR69" s="752">
        <f t="shared" si="170"/>
        <v>49.979308922023904</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5" t="s">
        <v>874</v>
      </c>
      <c r="B70" s="386" t="s">
        <v>1181</v>
      </c>
      <c r="C70" s="754">
        <f>(C68/$C$35)*100</f>
        <v>14.3892007732892</v>
      </c>
      <c r="D70" s="755">
        <f>(D68/$E$35)*100</f>
        <v>13.038485096652042</v>
      </c>
      <c r="E70" s="734">
        <f>(E68/$E$35)*100</f>
        <v>13.231726120571786</v>
      </c>
      <c r="F70" s="74"/>
      <c r="G70" s="362" t="s">
        <v>874</v>
      </c>
      <c r="H70" s="388" t="s">
        <v>1181</v>
      </c>
      <c r="I70" s="756">
        <f>(I68/I35)*100</f>
        <v>10.422145846635717</v>
      </c>
      <c r="J70" s="757">
        <f t="shared" ref="J70:K70" si="171">(J68/J35)*100</f>
        <v>10.012974450143837</v>
      </c>
      <c r="K70" s="758">
        <f t="shared" si="171"/>
        <v>9.9050188440515026</v>
      </c>
      <c r="L70" s="756">
        <f>(L68/L35)*100</f>
        <v>10.947025612174183</v>
      </c>
      <c r="M70" s="757">
        <f t="shared" ref="M70" si="172">(M68/M35)*100</f>
        <v>10.120307245822758</v>
      </c>
      <c r="N70" s="758">
        <f t="shared" ref="N70" si="173">(N68/N35)*100</f>
        <v>10.091579441494272</v>
      </c>
      <c r="O70" s="756">
        <f>(O68/O35)*100</f>
        <v>14.212790509483931</v>
      </c>
      <c r="P70" s="757">
        <f t="shared" ref="P70" si="174">(P68/P35)*100</f>
        <v>13.899751345900754</v>
      </c>
      <c r="Q70" s="758">
        <f t="shared" ref="Q70" si="175">(Q68/Q35)*100</f>
        <v>13.819954029934605</v>
      </c>
      <c r="R70" s="756">
        <f>(R68/R35)*100</f>
        <v>25.074759731363784</v>
      </c>
      <c r="S70" s="757">
        <f t="shared" ref="S70" si="176">(S68/S35)*100</f>
        <v>20.657489015616388</v>
      </c>
      <c r="T70" s="758">
        <f t="shared" ref="T70" si="177">(T68/T35)*100</f>
        <v>20.079408391409775</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0" t="s">
        <v>1202</v>
      </c>
      <c r="B71" s="351" t="s">
        <v>842</v>
      </c>
      <c r="C71" s="352">
        <f>D148*D150*D146*0.024*D157</f>
        <v>608204.37600000005</v>
      </c>
      <c r="D71" s="759">
        <f>C71</f>
        <v>608204.37600000005</v>
      </c>
      <c r="E71" s="760">
        <f>C71</f>
        <v>608204.37600000005</v>
      </c>
      <c r="F71" s="419"/>
      <c r="G71" s="344" t="s">
        <v>1202</v>
      </c>
      <c r="H71" s="346" t="s">
        <v>842</v>
      </c>
      <c r="I71" s="353">
        <f>$D$148*D150*'Ввод исходных данных'!I252*0.024*$D$157</f>
        <v>85313.736000000004</v>
      </c>
      <c r="J71" s="761">
        <f>IF('Ввод исходных данных'!D186&lt;&gt;0,I71,0)</f>
        <v>85313.736000000004</v>
      </c>
      <c r="K71" s="708">
        <f>J71</f>
        <v>85313.736000000004</v>
      </c>
      <c r="L71" s="353">
        <f>$D$148*D150*'Ввод исходных данных'!I253*0.024*$D$157</f>
        <v>77057.567999999999</v>
      </c>
      <c r="M71" s="761">
        <f>IF('Ввод исходных данных'!D187&lt;&gt;0,L71,0)</f>
        <v>77057.567999999999</v>
      </c>
      <c r="N71" s="708">
        <f>M71</f>
        <v>77057.567999999999</v>
      </c>
      <c r="O71" s="353">
        <f>$D$148*D150*'Ввод исходных данных'!I254*0.024*$D$157</f>
        <v>85313.736000000004</v>
      </c>
      <c r="P71" s="761">
        <f>IF('Ввод исходных данных'!D188&lt;&gt;0,O71,0)</f>
        <v>85313.736000000004</v>
      </c>
      <c r="Q71" s="708">
        <f>P71</f>
        <v>85313.736000000004</v>
      </c>
      <c r="R71" s="353">
        <f>$D$148*D150*'Ввод исходных данных'!I255*0.024*$D$157</f>
        <v>82561.680000000008</v>
      </c>
      <c r="S71" s="761">
        <f>IF('Ввод исходных данных'!D189&lt;&gt;0,R71,0)</f>
        <v>82561.680000000008</v>
      </c>
      <c r="T71" s="708">
        <f>S71</f>
        <v>82561.680000000008</v>
      </c>
      <c r="U71" s="353">
        <f>IF(U38=0,0,$D$148*D150*'Ввод исходных данных'!I256*0.024*$D$157)</f>
        <v>27520.560000000001</v>
      </c>
      <c r="V71" s="761">
        <f>IF('Ввод исходных данных'!D186&lt;&gt;0,U71,0)</f>
        <v>27520.560000000001</v>
      </c>
      <c r="W71" s="708">
        <f>V71</f>
        <v>27520.560000000001</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82561.680000000008</v>
      </c>
      <c r="AK71" s="761">
        <f>IF('Ввод исходных данных'!D194&lt;&gt;0,AJ71,0)</f>
        <v>82561.680000000008</v>
      </c>
      <c r="AL71" s="708">
        <f>AK71</f>
        <v>82561.680000000008</v>
      </c>
      <c r="AM71" s="353">
        <f>$D$148*D150*'Ввод исходных данных'!I262*0.024*$D$157</f>
        <v>82561.680000000008</v>
      </c>
      <c r="AN71" s="761">
        <f>IF('Ввод исходных данных'!D195&lt;&gt;0,AM71,0)</f>
        <v>82561.680000000008</v>
      </c>
      <c r="AO71" s="708">
        <f>AN71</f>
        <v>82561.680000000008</v>
      </c>
      <c r="AP71" s="353">
        <f>$D$148*D150*'Ввод исходных данных'!I263*0.024*$D$157</f>
        <v>85313.736000000004</v>
      </c>
      <c r="AQ71" s="762">
        <f>IF('Ввод исходных данных'!D196&lt;&gt;0,AP71,0)</f>
        <v>85313.736000000004</v>
      </c>
      <c r="AR71" s="708">
        <f>AQ71</f>
        <v>85313.736000000004</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58" t="s">
        <v>874</v>
      </c>
      <c r="B72" s="359" t="s">
        <v>1184</v>
      </c>
      <c r="C72" s="361">
        <f>0.86*C71/1000</f>
        <v>523.05576336000001</v>
      </c>
      <c r="D72" s="361">
        <f>0.86*D71/1000</f>
        <v>523.05576336000001</v>
      </c>
      <c r="E72" s="361">
        <f>0.86*E71/1000</f>
        <v>523.05576336000001</v>
      </c>
      <c r="F72" s="74"/>
      <c r="G72" s="362" t="s">
        <v>874</v>
      </c>
      <c r="H72" s="363" t="s">
        <v>1184</v>
      </c>
      <c r="I72" s="365">
        <f>0.86*I71/1000</f>
        <v>73.36981295999999</v>
      </c>
      <c r="J72" s="364">
        <f t="shared" ref="J72:K72" si="178">0.86*J71/1000</f>
        <v>73.36981295999999</v>
      </c>
      <c r="K72" s="763">
        <f t="shared" si="178"/>
        <v>73.36981295999999</v>
      </c>
      <c r="L72" s="365">
        <f>0.86*L71/1000</f>
        <v>66.269508479999999</v>
      </c>
      <c r="M72" s="364">
        <f t="shared" ref="M72" si="179">0.86*M71/1000</f>
        <v>66.269508479999999</v>
      </c>
      <c r="N72" s="763">
        <f t="shared" ref="N72" si="180">0.86*N71/1000</f>
        <v>66.269508479999999</v>
      </c>
      <c r="O72" s="366">
        <f>0.86*O71/1000</f>
        <v>73.36981295999999</v>
      </c>
      <c r="P72" s="364">
        <f t="shared" ref="P72" si="181">0.86*P71/1000</f>
        <v>73.36981295999999</v>
      </c>
      <c r="Q72" s="763">
        <f t="shared" ref="Q72" si="182">0.86*Q71/1000</f>
        <v>73.36981295999999</v>
      </c>
      <c r="R72" s="367">
        <f>0.86*R71/1000</f>
        <v>71.003044799999998</v>
      </c>
      <c r="S72" s="764">
        <f t="shared" ref="S72" si="183">0.86*S71/1000</f>
        <v>71.003044799999998</v>
      </c>
      <c r="T72" s="765">
        <f t="shared" ref="T72" si="184">0.86*T71/1000</f>
        <v>71.003044799999998</v>
      </c>
      <c r="U72" s="368">
        <f>0.86*U71/1000</f>
        <v>23.667681600000002</v>
      </c>
      <c r="V72" s="680">
        <f t="shared" ref="V72:W72" si="185">0.86*V71/1000</f>
        <v>23.667681600000002</v>
      </c>
      <c r="W72" s="686">
        <f t="shared" si="185"/>
        <v>23.667681600000002</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71.003044799999998</v>
      </c>
      <c r="AK72" s="364">
        <f t="shared" ref="AK72:AL72" si="190">0.86*AK71/1000</f>
        <v>71.003044799999998</v>
      </c>
      <c r="AL72" s="763">
        <f t="shared" si="190"/>
        <v>71.003044799999998</v>
      </c>
      <c r="AM72" s="366">
        <f>0.86*AM71/1000</f>
        <v>71.003044799999998</v>
      </c>
      <c r="AN72" s="364">
        <f t="shared" ref="AN72:AO72" si="191">0.86*AN71/1000</f>
        <v>71.003044799999998</v>
      </c>
      <c r="AO72" s="763">
        <f t="shared" si="191"/>
        <v>71.003044799999998</v>
      </c>
      <c r="AP72" s="371">
        <f>0.86*AP71/1000</f>
        <v>73.36981295999999</v>
      </c>
      <c r="AQ72" s="440">
        <f t="shared" ref="AQ72:AR72" si="192">0.86*AQ71/1000</f>
        <v>73.36981295999999</v>
      </c>
      <c r="AR72" s="768">
        <f t="shared" si="192"/>
        <v>73.36981295999999</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29" t="s">
        <v>1207</v>
      </c>
      <c r="B73" s="322" t="s">
        <v>842</v>
      </c>
      <c r="C73" s="769"/>
      <c r="D73" s="770">
        <f>D35-$C$35</f>
        <v>1131465.4902231535</v>
      </c>
      <c r="E73" s="771">
        <f>E35-$C$35</f>
        <v>1188571.22454393</v>
      </c>
      <c r="F73" s="74"/>
      <c r="G73" s="344" t="s">
        <v>1207</v>
      </c>
      <c r="H73" s="326" t="s">
        <v>842</v>
      </c>
      <c r="I73" s="373"/>
      <c r="J73" s="610">
        <f>J35-I35</f>
        <v>120609.37060215522</v>
      </c>
      <c r="K73" s="608">
        <f>K35-I35</f>
        <v>165281.17427657382</v>
      </c>
      <c r="L73" s="373"/>
      <c r="M73" s="610">
        <f>M35-L35</f>
        <v>255339.85865678999</v>
      </c>
      <c r="N73" s="608">
        <f>N35-L35</f>
        <v>271045.80269989371</v>
      </c>
      <c r="O73" s="373"/>
      <c r="P73" s="772">
        <f>P35-O35</f>
        <v>33165.889380086039</v>
      </c>
      <c r="Q73" s="612">
        <f>Q35-O35</f>
        <v>42826.643843854137</v>
      </c>
      <c r="R73" s="373"/>
      <c r="S73" s="772">
        <f>S35-R35</f>
        <v>183751.41592013394</v>
      </c>
      <c r="T73" s="612">
        <f>T35-R35</f>
        <v>243343.15335434448</v>
      </c>
      <c r="U73" s="374"/>
      <c r="V73" s="773">
        <f>V35-U35</f>
        <v>165647.05452901006</v>
      </c>
      <c r="W73" s="774">
        <f>W35-U35</f>
        <v>55086.985786510064</v>
      </c>
      <c r="X73" s="373"/>
      <c r="Y73" s="772">
        <f>Y35-X35</f>
        <v>0</v>
      </c>
      <c r="Z73" s="612">
        <f>Z35-X35</f>
        <v>0</v>
      </c>
      <c r="AA73" s="373"/>
      <c r="AB73" s="772">
        <f>AB35-AA35</f>
        <v>0</v>
      </c>
      <c r="AC73" s="612">
        <f>AC35-AA35</f>
        <v>0</v>
      </c>
      <c r="AD73" s="396"/>
      <c r="AE73" s="775">
        <f>AE35-AD35</f>
        <v>0</v>
      </c>
      <c r="AF73" s="776">
        <f>AF35-AD35</f>
        <v>0</v>
      </c>
      <c r="AG73" s="395"/>
      <c r="AH73" s="775">
        <f>AH35-AG35</f>
        <v>-17448.272217494556</v>
      </c>
      <c r="AI73" s="776">
        <f>AI35-AG35</f>
        <v>-17448.272217494556</v>
      </c>
      <c r="AJ73" s="373"/>
      <c r="AK73" s="772">
        <f>AK35-AJ35</f>
        <v>88730.014254630427</v>
      </c>
      <c r="AL73" s="612">
        <f>AL35-AJ35</f>
        <v>48941.776177527616</v>
      </c>
      <c r="AM73" s="373"/>
      <c r="AN73" s="772">
        <f>AN35-AM35</f>
        <v>217551.03572425118</v>
      </c>
      <c r="AO73" s="612">
        <f>AO35-AM35</f>
        <v>134611.37257835449</v>
      </c>
      <c r="AP73" s="373"/>
      <c r="AQ73" s="610">
        <f>AQ35-AP35</f>
        <v>132250.24163341441</v>
      </c>
      <c r="AR73" s="612">
        <f>AR35-AP35</f>
        <v>166796.25287799654</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58" t="s">
        <v>874</v>
      </c>
      <c r="B74" s="359" t="s">
        <v>1184</v>
      </c>
      <c r="C74" s="378"/>
      <c r="D74" s="377">
        <f>0.86*D73/1000</f>
        <v>973.06032159191193</v>
      </c>
      <c r="E74" s="659">
        <f>0.86*E73/1000</f>
        <v>1022.1712531077798</v>
      </c>
      <c r="F74" s="74"/>
      <c r="G74" s="379" t="s">
        <v>874</v>
      </c>
      <c r="H74" s="380" t="s">
        <v>1184</v>
      </c>
      <c r="I74" s="382"/>
      <c r="J74" s="381">
        <f>J36-I36</f>
        <v>103.64204495785344</v>
      </c>
      <c r="K74" s="777">
        <f>K36-I36</f>
        <v>142.05288216715581</v>
      </c>
      <c r="L74" s="382"/>
      <c r="M74" s="778">
        <f>M36-L36</f>
        <v>219.49828586483943</v>
      </c>
      <c r="N74" s="777">
        <f>N36-L36</f>
        <v>233.00296689932236</v>
      </c>
      <c r="O74" s="382"/>
      <c r="P74" s="779">
        <f>P36-O36</f>
        <v>28.471079926873983</v>
      </c>
      <c r="Q74" s="780">
        <f>Q36-O36</f>
        <v>36.777833550062383</v>
      </c>
      <c r="R74" s="382"/>
      <c r="S74" s="779">
        <f>S36-R36</f>
        <v>157.97229779131516</v>
      </c>
      <c r="T74" s="780">
        <f>T36-R36</f>
        <v>209.21196884394675</v>
      </c>
      <c r="U74" s="383"/>
      <c r="V74" s="781">
        <f>V36-U36</f>
        <v>142.68600000000001</v>
      </c>
      <c r="W74" s="782">
        <f>W36-U36</f>
        <v>47.621452500000011</v>
      </c>
      <c r="X74" s="382"/>
      <c r="Y74" s="779">
        <f>Y36-X36</f>
        <v>0</v>
      </c>
      <c r="Z74" s="780">
        <f>Z36-X36</f>
        <v>0</v>
      </c>
      <c r="AA74" s="382"/>
      <c r="AB74" s="779">
        <f>AB36-AA36</f>
        <v>0</v>
      </c>
      <c r="AC74" s="780">
        <f>AC36-AA36</f>
        <v>0</v>
      </c>
      <c r="AD74" s="382"/>
      <c r="AE74" s="779">
        <f>AE36-AD36</f>
        <v>0</v>
      </c>
      <c r="AF74" s="780">
        <f>AF36-AD36</f>
        <v>0</v>
      </c>
      <c r="AG74" s="384"/>
      <c r="AH74" s="779">
        <f>AH36-AG36</f>
        <v>0</v>
      </c>
      <c r="AI74" s="780">
        <f>AI36-AG36</f>
        <v>0</v>
      </c>
      <c r="AJ74" s="382"/>
      <c r="AK74" s="779">
        <f>AK36-AJ36</f>
        <v>76.268078518982151</v>
      </c>
      <c r="AL74" s="780">
        <f>AL36-AJ36</f>
        <v>42.056351883468125</v>
      </c>
      <c r="AM74" s="382"/>
      <c r="AN74" s="779">
        <f>AN36-AM36</f>
        <v>187.01710362285598</v>
      </c>
      <c r="AO74" s="780">
        <f>AO36-AM36</f>
        <v>115.70183006662495</v>
      </c>
      <c r="AP74" s="382"/>
      <c r="AQ74" s="381">
        <f>AQ36-AP36</f>
        <v>113.65670764473634</v>
      </c>
      <c r="AR74" s="780">
        <f>AR36-AP36</f>
        <v>143.36093055495314</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5" t="s">
        <v>874</v>
      </c>
      <c r="B75" s="386" t="s">
        <v>1181</v>
      </c>
      <c r="C75" s="378"/>
      <c r="D75" s="387">
        <f>(D73/$C$35)*100</f>
        <v>53.53754346176899</v>
      </c>
      <c r="E75" s="783">
        <f>(E73/$C$35)*100</f>
        <v>56.239615031368359</v>
      </c>
      <c r="F75" s="74"/>
      <c r="G75" s="362" t="s">
        <v>874</v>
      </c>
      <c r="H75" s="388" t="s">
        <v>1181</v>
      </c>
      <c r="I75" s="390"/>
      <c r="J75" s="389">
        <f>(J73/I35)*100</f>
        <v>29.467903055765831</v>
      </c>
      <c r="K75" s="784">
        <f>(K73/I35)*100</f>
        <v>40.38234837151353</v>
      </c>
      <c r="L75" s="390"/>
      <c r="M75" s="785">
        <f>(M73/L35)*100</f>
        <v>72.5486683546726</v>
      </c>
      <c r="N75" s="784">
        <f>(N73/L35)*100</f>
        <v>77.011133915569374</v>
      </c>
      <c r="O75" s="391"/>
      <c r="P75" s="786">
        <f>IFERROR((P73/O35)*100,0)</f>
        <v>11.05050276592929</v>
      </c>
      <c r="Q75" s="787">
        <f>IFERROR((Q73/O35)*100,0)</f>
        <v>14.269357918564914</v>
      </c>
      <c r="R75" s="390"/>
      <c r="S75" s="786">
        <f>IFERROR((S73/R35)*100,0)</f>
        <v>111.61407094660021</v>
      </c>
      <c r="T75" s="787">
        <f>IFERROR((T73/R35)*100,0)</f>
        <v>147.81121466115025</v>
      </c>
      <c r="U75" s="392"/>
      <c r="V75" s="786">
        <f>IFERROR((V73/U35)*100,0)</f>
        <v>55817.872050235441</v>
      </c>
      <c r="W75" s="787">
        <f>IFERROR((W73/U35)*100,0)</f>
        <v>18562.589796766082</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-100</v>
      </c>
      <c r="AI75" s="787">
        <f>IFERROR((AI73/AG35)*100,0)</f>
        <v>-100</v>
      </c>
      <c r="AJ75" s="390"/>
      <c r="AK75" s="786">
        <f>IFERROR((AK73/AJ35)*100,0)</f>
        <v>52.817341222094413</v>
      </c>
      <c r="AL75" s="787">
        <f>IFERROR((AL73/AJ35)*100,0)</f>
        <v>29.133033665087567</v>
      </c>
      <c r="AM75" s="390"/>
      <c r="AN75" s="786">
        <f>IFERROR((AN73/AM35)*100,0)</f>
        <v>78.093135281700782</v>
      </c>
      <c r="AO75" s="787">
        <f>IFERROR((AO73/AM35)*100,0)</f>
        <v>48.320726647981807</v>
      </c>
      <c r="AP75" s="390"/>
      <c r="AQ75" s="389">
        <f>(AQ73/AP35)*100</f>
        <v>35.27162074903368</v>
      </c>
      <c r="AR75" s="788">
        <f>(AR73/AP35)*100</f>
        <v>44.485167673116493</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89" t="s">
        <v>1208</v>
      </c>
      <c r="B76" s="790" t="s">
        <v>1346</v>
      </c>
      <c r="C76" s="791">
        <f>C35/('Ввод исходных данных'!$G$45++'Ввод исходных данных'!D23)</f>
        <v>67.318133889809502</v>
      </c>
      <c r="D76" s="672">
        <f>D35/('Ввод исходных данных'!$G$45+'Ввод исходных данных'!$D$23)</f>
        <v>103.35860907871812</v>
      </c>
      <c r="E76" s="792">
        <f>E35/('Ввод исходных данных'!$G$45+'Ввод исходных данных'!$D$23)</f>
        <v>105.17759323573949</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5" t="s">
        <v>874</v>
      </c>
      <c r="B77" s="397" t="s">
        <v>1209</v>
      </c>
      <c r="C77" s="399">
        <f>C76*0.86/1000</f>
        <v>5.7893595145236169E-2</v>
      </c>
      <c r="D77" s="398">
        <f t="shared" ref="D77:E77" si="193">D76*0.86/1000</f>
        <v>8.888840380769758E-2</v>
      </c>
      <c r="E77" s="801">
        <f t="shared" si="193"/>
        <v>9.045273018273596E-2</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07">
        <f>C38</f>
        <v>1153652.5421644442</v>
      </c>
      <c r="B80" s="408">
        <f>C62</f>
        <v>1020720.168646925</v>
      </c>
      <c r="C80" s="408">
        <f>C65</f>
        <v>243135.16796547777</v>
      </c>
      <c r="D80" s="409">
        <f>C68</f>
        <v>304102.18800000002</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785" t="s">
        <v>1210</v>
      </c>
      <c r="B82" s="1785"/>
      <c r="C82" s="1785"/>
      <c r="D82" s="1785"/>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68" t="s">
        <v>834</v>
      </c>
      <c r="B83" s="1778" t="s">
        <v>1174</v>
      </c>
      <c r="C83" s="1776" t="s">
        <v>1175</v>
      </c>
      <c r="D83" s="1772" t="s">
        <v>1176</v>
      </c>
      <c r="E83" s="74"/>
      <c r="F83" s="74"/>
      <c r="G83" s="1781" t="s">
        <v>834</v>
      </c>
      <c r="H83" s="1786" t="s">
        <v>1174</v>
      </c>
      <c r="I83" s="1766" t="s">
        <v>488</v>
      </c>
      <c r="J83" s="1767"/>
      <c r="K83" s="1766" t="s">
        <v>489</v>
      </c>
      <c r="L83" s="1767"/>
      <c r="M83" s="1766" t="s">
        <v>490</v>
      </c>
      <c r="N83" s="1767"/>
      <c r="O83" s="1766" t="s">
        <v>491</v>
      </c>
      <c r="P83" s="1767"/>
      <c r="Q83" s="1766" t="s">
        <v>805</v>
      </c>
      <c r="R83" s="1767"/>
      <c r="S83" s="1766" t="s">
        <v>806</v>
      </c>
      <c r="T83" s="1767"/>
      <c r="U83" s="1766" t="s">
        <v>807</v>
      </c>
      <c r="V83" s="1767"/>
      <c r="W83" s="1766" t="s">
        <v>808</v>
      </c>
      <c r="X83" s="1767"/>
      <c r="Y83" s="1766" t="s">
        <v>809</v>
      </c>
      <c r="Z83" s="1767"/>
      <c r="AA83" s="1766" t="s">
        <v>482</v>
      </c>
      <c r="AB83" s="1767"/>
      <c r="AC83" s="1766" t="s">
        <v>486</v>
      </c>
      <c r="AD83" s="1767"/>
      <c r="AE83" s="1766" t="s">
        <v>487</v>
      </c>
      <c r="AF83" s="176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69"/>
      <c r="B84" s="1779"/>
      <c r="C84" s="1777"/>
      <c r="D84" s="1773"/>
      <c r="E84" s="74"/>
      <c r="F84" s="74"/>
      <c r="G84" s="1782"/>
      <c r="H84" s="1787"/>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677176.75529517012</v>
      </c>
      <c r="D85" s="807">
        <f>IF('Система ГВС'!F3=2,0,D86*1163)</f>
        <v>998027.28700000001</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51873.18230769231</v>
      </c>
      <c r="J85" s="811">
        <f>J86*1163*'Система ГВС'!$H$4</f>
        <v>111711.96500000001</v>
      </c>
      <c r="K85" s="810">
        <f>(0.024* (H167*($D$174-IF(H146&gt;=0.8*H165,$D$175,'Ввод исходных данных'!$D$109))*1*$D$177)/(3.6*24*$D$179))*(H170*$D$176+H146+(H170-H146))*(1-0.4*'Ввод исходных данных'!$D$21/'Ввод исходных данных'!$D$20)*'Ввод исходных данных'!$G$45*'Система ГВС'!$H$4</f>
        <v>46853.196923076925</v>
      </c>
      <c r="L85" s="811">
        <f>L86*1163*'Система ГВС'!$H$4</f>
        <v>121002.00900000001</v>
      </c>
      <c r="M85" s="810">
        <f>(0.024* (I167*($D$174-IF(I146&gt;=0.8*I165,$D$175,'Ввод исходных данных'!$D$109))*1*$D$177)/(3.6*24*$D$179))*(I170*$D$176+I146+(I170-I146))*(1-0.4*'Ввод исходных данных'!$D$21/'Ввод исходных данных'!$D$20)*'Ввод исходных данных'!$G$45*'Система ГВС'!$H$4</f>
        <v>51873.18230769231</v>
      </c>
      <c r="N85" s="812">
        <f>N86*1163*'Система ГВС'!$H$4</f>
        <v>101598.51699999999</v>
      </c>
      <c r="O85" s="810">
        <f>(0.024* (J167*($D$174-IF(J146&gt;=0.8*J165,$D$175,'Ввод исходных данных'!$D$109))*1*$D$177)/(3.6*24*$D$179))*(J170*$D$176+J146+(J170-J146))*(1-0.4*'Ввод исходных данных'!$D$21/'Ввод исходных данных'!$D$20)*'Ввод исходных данных'!$G$45*'Система ГВС'!$H$4</f>
        <v>50199.853846153848</v>
      </c>
      <c r="P85" s="811">
        <f>P86*1163*'Система ГВС'!$H$4</f>
        <v>63674.25</v>
      </c>
      <c r="Q85" s="810">
        <f>(0.024* (K167*($D$174-IF(K146&gt;=0.8*K165,$D$175,'Ввод исходных данных'!$D$109))*1*$D$177)/(3.6*24*$D$179))*(K170*$D$176+K146+(K170-K146))*(1-0.4*'Ввод исходных данных'!$D$21/'Ввод исходных данных'!$D$20)*'Ввод исходных данных'!$G$45*'Система ГВС'!$H$4</f>
        <v>38197.525153846153</v>
      </c>
      <c r="R85" s="813">
        <f>R86*1163*'Система ГВС'!$H$4</f>
        <v>50564.914000000004</v>
      </c>
      <c r="S85" s="810">
        <f>(0.024* (L167*($D$174-IF(L146&gt;=0.8*L165,$D$175,'Ввод исходных данных'!$D$109))*1*$D$177)/(3.6*24*$D$179))*(L170*$D$176+L146+(L170-L146))*(1-0.4*'Ввод исходных данных'!$D$21/'Ввод исходных данных'!$D$20)*'Ввод исходных данных'!$G$45*'Система ГВС'!$H$4</f>
        <v>36965.346923076919</v>
      </c>
      <c r="T85" s="813">
        <f>T86*1163*'Система ГВС'!$H$4</f>
        <v>46632.811000000002</v>
      </c>
      <c r="U85" s="810">
        <f>(0.024* (M167*($D$174-IF(M146&gt;=0.8*M165,$D$175,'Ввод исходных данных'!$D$109))*1*$D$177)/(3.6*24*$D$179))*(M170*$D$176+M146+(M170-M146))*(1-0.4*'Ввод исходных данных'!$D$21/'Ввод исходных данных'!$D$20)*'Ввод исходных данных'!$G$45*'Система ГВС'!$H$4</f>
        <v>20947.029923076923</v>
      </c>
      <c r="V85" s="812">
        <f>V86*1163*'Система ГВС'!$H$4</f>
        <v>59313</v>
      </c>
      <c r="W85" s="810">
        <f>(0.024* (N167*($D$174-IF(N146&gt;=0.8*N165,$D$175,'Ввод исходных данных'!$D$109))*1*$D$177)/(3.6*24*$D$179))*(N170*$D$176+N146+(N170-N146))*(1-0.4*'Ввод исходных данных'!$D$21/'Ввод исходных данных'!$D$20)*'Ввод исходных данных'!$G$45*'Система ГВС'!$H$4</f>
        <v>38197.525153846153</v>
      </c>
      <c r="X85" s="811">
        <f>X86*1163*'Система ГВС'!$H$4</f>
        <v>43031</v>
      </c>
      <c r="Y85" s="810">
        <f>(0.024* (O167*($D$174-IF(G146&gt;=0.8*O165,$D$175,'Ввод исходных данных'!$D$109))*1*$D$177)/(3.6*24*$D$179))*(O170*$D$176+O146+(O170-O146))*(1-0.4*'Ввод исходных данных'!$D$21/'Ввод исходных данных'!$D$20)*'Ввод исходных данных'!$G$45*'Система ГВС'!$H$4</f>
        <v>45179.868461538455</v>
      </c>
      <c r="Z85" s="811">
        <f>Z86*1163*'Система ГВС'!$H$4</f>
        <v>62802</v>
      </c>
      <c r="AA85" s="810">
        <f>(0.024* (P167*($D$174-IF(P146&gt;=0.8*P165,$D$175,'Ввод исходных данных'!$D$109))*1*$D$177)/(3.6*24*$D$179))*(P170*$D$176+P146+(P170-P146))*(1-0.4*'Ввод исходных данных'!$D$21/'Ввод исходных данных'!$D$20)*'Ввод исходных данных'!$G$45*'Система ГВС'!$H$4</f>
        <v>51873.18230769231</v>
      </c>
      <c r="AB85" s="811">
        <f>AB86*1163*'Система ГВС'!$H$4</f>
        <v>95945.173999999999</v>
      </c>
      <c r="AC85" s="810">
        <f>(0.024* (Q167*($D$174-IF(Q146&gt;=0.8*Q165,$D$175,'Ввод исходных данных'!$D$109))*1*$D$177)/(3.6*24*$D$179))*(Q170*$D$176+Q146+(Q170-Q146))*(1-0.4*'Ввод исходных данных'!$D$21/'Ввод исходных данных'!$D$20)*'Ввод исходных данных'!$G$45*'Система ГВС'!$H$4</f>
        <v>50199.853846153848</v>
      </c>
      <c r="AD85" s="811">
        <f>AD86*1163*'Система ГВС'!$H$4</f>
        <v>128388.22200000001</v>
      </c>
      <c r="AE85" s="810">
        <f>(0.024* (R167*($D$174-IF(R146&gt;=0.8*R165,$D$175,'Ввод исходных данных'!$D$109))*1*$D$177)/(3.6*24*$D$179))*(R170*$D$176+R146+(R170-R146))*(1-0.4*'Ввод исходных данных'!$D$21/'Ввод исходных данных'!$D$20)*'Ввод исходных данных'!$G$45*'Система ГВС'!$H$4</f>
        <v>51873.18230769231</v>
      </c>
      <c r="AF85" s="811">
        <f>AF86*1163*'Система ГВС'!$H$4</f>
        <v>113363.42499999999</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4" t="s">
        <v>874</v>
      </c>
      <c r="B86" s="386" t="s">
        <v>1184</v>
      </c>
      <c r="C86" s="815">
        <f>0.86*C85/1000</f>
        <v>582.37200955384628</v>
      </c>
      <c r="D86" s="816">
        <f>IF('Система ГВС'!F3=2,0,'Ввод исходных данных'!K198)</f>
        <v>858.149</v>
      </c>
      <c r="E86" s="74"/>
      <c r="F86" s="74"/>
      <c r="G86" s="544" t="s">
        <v>874</v>
      </c>
      <c r="H86" s="545" t="s">
        <v>1184</v>
      </c>
      <c r="I86" s="365">
        <f>0.86*I85/1000</f>
        <v>44.610936784615383</v>
      </c>
      <c r="J86" s="817">
        <f>'Ввод исходных данных'!K186*'Система ГВС'!$H$4</f>
        <v>96.055000000000007</v>
      </c>
      <c r="K86" s="365">
        <f>0.86*K85/1000</f>
        <v>40.29374935384616</v>
      </c>
      <c r="L86" s="817">
        <f>'Ввод исходных данных'!K187*'Система ГВС'!$H$4</f>
        <v>104.04300000000001</v>
      </c>
      <c r="M86" s="818">
        <f>0.86*M85/1000</f>
        <v>44.610936784615383</v>
      </c>
      <c r="N86" s="819">
        <f>'Ввод исходных данных'!K188*'Система ГВС'!$H$4</f>
        <v>87.358999999999995</v>
      </c>
      <c r="O86" s="365">
        <f>0.86*O85/1000</f>
        <v>43.171874307692306</v>
      </c>
      <c r="P86" s="817">
        <f>'Ввод исходных данных'!K189*'Система ГВС'!$H$4</f>
        <v>54.75</v>
      </c>
      <c r="Q86" s="818">
        <f>0.86*Q85/1000</f>
        <v>32.849871632307689</v>
      </c>
      <c r="R86" s="820">
        <f>'Ввод исходных данных'!K190*'Система ГВС'!$H$4</f>
        <v>43.478000000000002</v>
      </c>
      <c r="S86" s="764">
        <f>0.86*S85/1000</f>
        <v>31.790198353846151</v>
      </c>
      <c r="T86" s="821">
        <f>'Ввод исходных данных'!K191*'Система ГВС'!$H$4</f>
        <v>40.097000000000001</v>
      </c>
      <c r="U86" s="764">
        <f>0.86*U85/1000</f>
        <v>18.014445733846156</v>
      </c>
      <c r="V86" s="822">
        <f>'Ввод исходных данных'!K192*'Система ГВС'!$H$4</f>
        <v>51</v>
      </c>
      <c r="W86" s="366">
        <f>0.86*W85/1000</f>
        <v>32.849871632307689</v>
      </c>
      <c r="X86" s="602">
        <f>'Ввод исходных данных'!K193*'Система ГВС'!$H$4</f>
        <v>37</v>
      </c>
      <c r="Y86" s="366">
        <f>0.86*Y85/1000</f>
        <v>38.854686876923068</v>
      </c>
      <c r="Z86" s="602">
        <f>'Ввод исходных данных'!K194*'Система ГВС'!$H$4</f>
        <v>54</v>
      </c>
      <c r="AA86" s="366">
        <f>0.86*AA85/1000</f>
        <v>44.610936784615383</v>
      </c>
      <c r="AB86" s="602">
        <f>'Ввод исходных данных'!K195*'Система ГВС'!$H$4</f>
        <v>82.498000000000005</v>
      </c>
      <c r="AC86" s="366">
        <f>0.86*AC85/1000</f>
        <v>43.171874307692306</v>
      </c>
      <c r="AD86" s="823">
        <f>'Ввод исходных данных'!K196*'Система ГВС'!$H$4</f>
        <v>110.39400000000001</v>
      </c>
      <c r="AE86" s="365">
        <f>0.86*AE85/1000</f>
        <v>44.610936784615383</v>
      </c>
      <c r="AF86" s="823">
        <f>'Ввод исходных данных'!K197*'Система ГВС'!$H$4</f>
        <v>97.474999999999994</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4" t="s">
        <v>1214</v>
      </c>
      <c r="B87" s="825" t="s">
        <v>842</v>
      </c>
      <c r="C87" s="826"/>
      <c r="D87" s="827">
        <f>D85-C85</f>
        <v>320850.53170482989</v>
      </c>
      <c r="E87" s="74"/>
      <c r="F87" s="74"/>
      <c r="G87" s="828" t="s">
        <v>1215</v>
      </c>
      <c r="H87" s="809" t="s">
        <v>842</v>
      </c>
      <c r="I87" s="829"/>
      <c r="J87" s="830">
        <f>J85-I85</f>
        <v>59838.782692307701</v>
      </c>
      <c r="K87" s="829"/>
      <c r="L87" s="830">
        <f>L85-K85</f>
        <v>74148.812076923088</v>
      </c>
      <c r="M87" s="829"/>
      <c r="N87" s="830">
        <f>N85-M85</f>
        <v>49725.334692307682</v>
      </c>
      <c r="O87" s="829"/>
      <c r="P87" s="830">
        <f>P85-O85</f>
        <v>13474.396153846152</v>
      </c>
      <c r="Q87" s="829"/>
      <c r="R87" s="830">
        <f>R85-Q85</f>
        <v>12367.388846153852</v>
      </c>
      <c r="S87" s="829"/>
      <c r="T87" s="830">
        <f>T85-S85</f>
        <v>9667.4640769230828</v>
      </c>
      <c r="U87" s="829"/>
      <c r="V87" s="830">
        <f>V85-U85</f>
        <v>38365.970076923077</v>
      </c>
      <c r="W87" s="829"/>
      <c r="X87" s="830">
        <f>X85-W85</f>
        <v>4833.4748461538475</v>
      </c>
      <c r="Y87" s="829"/>
      <c r="Z87" s="830">
        <f>Z85-Y85</f>
        <v>17622.131538461545</v>
      </c>
      <c r="AA87" s="829"/>
      <c r="AB87" s="830">
        <f>AB85-AA85</f>
        <v>44071.991692307689</v>
      </c>
      <c r="AC87" s="829"/>
      <c r="AD87" s="830">
        <f>AD85-AC85</f>
        <v>78188.368153846153</v>
      </c>
      <c r="AE87" s="829"/>
      <c r="AF87" s="830">
        <f>AF85-AE85</f>
        <v>61490.242692307678</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58" t="s">
        <v>874</v>
      </c>
      <c r="B88" s="359" t="s">
        <v>1184</v>
      </c>
      <c r="C88" s="831"/>
      <c r="D88" s="832">
        <f>D86-C86</f>
        <v>275.77699044615372</v>
      </c>
      <c r="E88" s="74"/>
      <c r="F88" s="74"/>
      <c r="G88" s="833" t="s">
        <v>874</v>
      </c>
      <c r="H88" s="834" t="s">
        <v>1184</v>
      </c>
      <c r="I88" s="618"/>
      <c r="J88" s="615">
        <f>J86-I86</f>
        <v>51.444063215384624</v>
      </c>
      <c r="K88" s="618"/>
      <c r="L88" s="615">
        <f>L86-K86</f>
        <v>63.749250646153847</v>
      </c>
      <c r="M88" s="618"/>
      <c r="N88" s="615">
        <f>N86-M86</f>
        <v>42.748063215384612</v>
      </c>
      <c r="O88" s="618"/>
      <c r="P88" s="615">
        <f>P86-O86</f>
        <v>11.578125692307694</v>
      </c>
      <c r="Q88" s="618"/>
      <c r="R88" s="615">
        <f>R86-Q86</f>
        <v>10.628128367692312</v>
      </c>
      <c r="S88" s="618"/>
      <c r="T88" s="615">
        <f>T86-S86</f>
        <v>8.3068016461538505</v>
      </c>
      <c r="U88" s="618"/>
      <c r="V88" s="615">
        <f>V86-U86</f>
        <v>32.985554266153841</v>
      </c>
      <c r="W88" s="618"/>
      <c r="X88" s="615">
        <f>X86-W86</f>
        <v>4.1501283676923109</v>
      </c>
      <c r="Y88" s="618"/>
      <c r="Z88" s="615">
        <f>Z86-Y86</f>
        <v>15.145313123076932</v>
      </c>
      <c r="AA88" s="618"/>
      <c r="AB88" s="615">
        <f>AB86-AA86</f>
        <v>37.887063215384622</v>
      </c>
      <c r="AC88" s="618"/>
      <c r="AD88" s="615">
        <f>AD86-AC86</f>
        <v>67.222125692307699</v>
      </c>
      <c r="AE88" s="618"/>
      <c r="AF88" s="615">
        <f>AF86-AE86</f>
        <v>52.864063215384611</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5" t="s">
        <v>874</v>
      </c>
      <c r="B89" s="386" t="s">
        <v>1181</v>
      </c>
      <c r="C89" s="835"/>
      <c r="D89" s="836">
        <f>IF('Система ГВС'!F3=2,0,(D87/C85)*100)</f>
        <v>47.380618013826606</v>
      </c>
      <c r="E89" s="74"/>
      <c r="F89" s="74"/>
      <c r="G89" s="544" t="s">
        <v>874</v>
      </c>
      <c r="H89" s="545" t="s">
        <v>1181</v>
      </c>
      <c r="I89" s="630"/>
      <c r="J89" s="837">
        <f>(J87/I85)*100</f>
        <v>115.35591230429326</v>
      </c>
      <c r="K89" s="630"/>
      <c r="L89" s="837">
        <f>(L87/K85)*100</f>
        <v>158.2577432200834</v>
      </c>
      <c r="M89" s="630"/>
      <c r="N89" s="837">
        <f>(N87/M85)*100</f>
        <v>95.859425776802354</v>
      </c>
      <c r="O89" s="630"/>
      <c r="P89" s="837">
        <f>(P87/O85)*100</f>
        <v>26.841504748481487</v>
      </c>
      <c r="Q89" s="630"/>
      <c r="R89" s="837">
        <f>(R87/Q85)*100</f>
        <v>32.377461095561486</v>
      </c>
      <c r="S89" s="630"/>
      <c r="T89" s="837">
        <f>(T87/S85)*100</f>
        <v>26.152775184392567</v>
      </c>
      <c r="U89" s="630"/>
      <c r="V89" s="837">
        <f>(V87/U85)*100</f>
        <v>183.15708822593535</v>
      </c>
      <c r="W89" s="630"/>
      <c r="X89" s="837">
        <f>(X87/W85)*100</f>
        <v>12.65389531569471</v>
      </c>
      <c r="Y89" s="630"/>
      <c r="Z89" s="837">
        <f>(Z87/Y85)*100</f>
        <v>39.00438876545919</v>
      </c>
      <c r="AA89" s="630"/>
      <c r="AB89" s="837">
        <f>(AB87/AA85)*100</f>
        <v>84.961033296336282</v>
      </c>
      <c r="AC89" s="630"/>
      <c r="AD89" s="837">
        <f>(AD87/AC85)*100</f>
        <v>155.7541748895683</v>
      </c>
      <c r="AE89" s="630"/>
      <c r="AF89" s="837">
        <f>(AF87/AE85)*100</f>
        <v>118.5395612082763</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38" t="s">
        <v>1216</v>
      </c>
      <c r="B90" s="839" t="s">
        <v>1345</v>
      </c>
      <c r="C90" s="840">
        <f>IF('Система ГВС'!F3=2,0,D168*365*'Ввод исходных данных'!$D$22/1000*(1-0.4*'Ввод исходных данных'!D21/'Ввод исходных данных'!D20))</f>
        <v>6780.24</v>
      </c>
      <c r="D90" s="841">
        <f>IF('Система ГВС'!F3=2,0,'Ввод исходных данных'!F218)</f>
        <v>7369</v>
      </c>
      <c r="E90" s="74"/>
      <c r="F90" s="317"/>
      <c r="G90" s="842" t="s">
        <v>1219</v>
      </c>
      <c r="H90" s="839" t="s">
        <v>1345</v>
      </c>
      <c r="I90" s="843">
        <f>G167*G170*'Ввод исходных данных'!$D$22/1000*(1-0.4*'Ввод исходных данных'!D21/'Ввод исходных данных'!D20)*'Система ГВС'!$H$4</f>
        <v>621.85633136094668</v>
      </c>
      <c r="J90" s="844">
        <f>'Ввод исходных данных'!F206*'Система ГВС'!$H$4</f>
        <v>985</v>
      </c>
      <c r="K90" s="843">
        <f>H167*H165*'Ввод исходных данных'!$D$22/1000*(1-0.4*'Ввод исходных данных'!D21/'Ввод исходных данных'!D20)*'Система ГВС'!$H$4</f>
        <v>561.6766863905325</v>
      </c>
      <c r="L90" s="844">
        <f>'Ввод исходных данных'!$F$207*'Система ГВС'!$H$4</f>
        <v>562</v>
      </c>
      <c r="M90" s="843">
        <f>I167*I165*'Ввод исходных данных'!$D$22/1000*(1-0.4*'Ввод исходных данных'!D21/'Ввод исходных данных'!D20)*'Система ГВС'!$H$4</f>
        <v>621.85633136094668</v>
      </c>
      <c r="N90" s="844">
        <f>'Ввод исходных данных'!$F$208*'Система ГВС'!$H$4</f>
        <v>720</v>
      </c>
      <c r="O90" s="843">
        <f>J167*J165*'Ввод исходных данных'!$D$22/1000*(1-0.4*'Ввод исходных данных'!D21/'Ввод исходных данных'!D20)*'Система ГВС'!$H$4</f>
        <v>601.79644970414199</v>
      </c>
      <c r="P90" s="844">
        <f>'Ввод исходных данных'!$F$209*'Система ГВС'!$H$4</f>
        <v>795</v>
      </c>
      <c r="Q90" s="843">
        <f>K167*K165*'Ввод исходных данных'!$D$22/1000*(1-0.4*'Ввод исходных данных'!D21/'Ввод исходных данных'!D20)*'Система ГВС'!$H$4</f>
        <v>559.67069822485212</v>
      </c>
      <c r="R90" s="844">
        <f>'Ввод исходных данных'!$F$210*'Система ГВС'!$H$4</f>
        <v>652</v>
      </c>
      <c r="S90" s="843">
        <f>L167*L165*'Ввод исходных данных'!$D$22/1000*(1-0.4*'Ввод исходных данных'!D21/'Ввод исходных данных'!D20)*'Система ГВС'!$H$4</f>
        <v>541.61680473372769</v>
      </c>
      <c r="T90" s="844">
        <f>'Ввод исходных данных'!$F$211*'Система ГВС'!$H$4</f>
        <v>659</v>
      </c>
      <c r="U90" s="843">
        <f>M167*M170*'Ввод исходных данных'!$D$22/1000*(1-0.4*'Ввод исходных данных'!D21/'Ввод исходных данных'!D20)*'Система ГВС'!$H$4</f>
        <v>306.91618934911241</v>
      </c>
      <c r="V90" s="844">
        <f>'Ввод исходных данных'!$F$212*'Система ГВС'!$H$4</f>
        <v>589</v>
      </c>
      <c r="W90" s="843">
        <f>N167*N165*'Ввод исходных данных'!$D$22/1000*(1-0.4*'Ввод исходных данных'!D21/'Ввод исходных данных'!D20)*'Система ГВС'!$H$4</f>
        <v>559.67069822485212</v>
      </c>
      <c r="X90" s="845">
        <f>'Ввод исходных данных'!$F$213*'Система ГВС'!$H$4</f>
        <v>352</v>
      </c>
      <c r="Y90" s="843">
        <f>O167*O165*'Ввод исходных данных'!$D$22/1000*(1-0.4*'Ввод исходных данных'!D21/'Ввод исходных данных'!D20)*'Система ГВС'!$H$4</f>
        <v>541.61680473372769</v>
      </c>
      <c r="Z90" s="846">
        <f>'Ввод исходных данных'!$F$214*'Система ГВС'!$H$4</f>
        <v>490</v>
      </c>
      <c r="AA90" s="843">
        <f>P167*P165*'Ввод исходных данных'!$D$22/1000*(1-0.4*'Ввод исходных данных'!D21/'Ввод исходных данных'!D20)*'Система ГВС'!$H$4</f>
        <v>621.85633136094668</v>
      </c>
      <c r="AB90" s="845">
        <f>'Ввод исходных данных'!$F$215*'Система ГВС'!$H$4</f>
        <v>663</v>
      </c>
      <c r="AC90" s="843">
        <f>Q167*Q165*'Ввод исходных данных'!$D$22/1000*(1-0.4*'Ввод исходных данных'!D21/'Ввод исходных данных'!D20)*'Система ГВС'!$H$4</f>
        <v>601.79644970414199</v>
      </c>
      <c r="AD90" s="847">
        <f>'Ввод исходных данных'!$F$216*'Система ГВС'!$H$4</f>
        <v>450</v>
      </c>
      <c r="AE90" s="843">
        <f>R167*R165*'Ввод исходных данных'!$D$22/1000*(1-0.4*'Ввод исходных данных'!D21/'Ввод исходных данных'!D20)*'Система ГВС'!$H$4</f>
        <v>621.85633136094668</v>
      </c>
      <c r="AF90" s="664">
        <f>'Ввод исходных данных'!$F$217*'Система ГВС'!$H$4</f>
        <v>452</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4" t="s">
        <v>1218</v>
      </c>
      <c r="B91" s="848" t="s">
        <v>1217</v>
      </c>
      <c r="C91" s="826"/>
      <c r="D91" s="849">
        <f>D90-C90</f>
        <v>588.76000000000022</v>
      </c>
      <c r="E91" s="74"/>
      <c r="F91" s="74"/>
      <c r="G91" s="828" t="s">
        <v>1220</v>
      </c>
      <c r="H91" s="809" t="s">
        <v>1217</v>
      </c>
      <c r="I91" s="850"/>
      <c r="J91" s="830">
        <f>J90-I90</f>
        <v>363.14366863905332</v>
      </c>
      <c r="K91" s="850"/>
      <c r="L91" s="830">
        <f>L90-K90</f>
        <v>0.32331360946750465</v>
      </c>
      <c r="M91" s="850"/>
      <c r="N91" s="830">
        <f>N90-M90</f>
        <v>98.143668639053317</v>
      </c>
      <c r="O91" s="850"/>
      <c r="P91" s="830">
        <f>P90-O90</f>
        <v>193.20355029585801</v>
      </c>
      <c r="Q91" s="829"/>
      <c r="R91" s="830">
        <f>R90-Q90</f>
        <v>92.329301775147883</v>
      </c>
      <c r="S91" s="850"/>
      <c r="T91" s="830">
        <f>T90-S90</f>
        <v>117.38319526627231</v>
      </c>
      <c r="U91" s="829"/>
      <c r="V91" s="830">
        <f>V90-U90</f>
        <v>282.08381065088759</v>
      </c>
      <c r="W91" s="829"/>
      <c r="X91" s="830">
        <f>X90-W90</f>
        <v>-207.67069822485212</v>
      </c>
      <c r="Y91" s="829"/>
      <c r="Z91" s="830">
        <f>Z90-Y90</f>
        <v>-51.61680473372769</v>
      </c>
      <c r="AA91" s="850"/>
      <c r="AB91" s="851">
        <f>AB90-AA90</f>
        <v>41.143668639053317</v>
      </c>
      <c r="AC91" s="121"/>
      <c r="AD91" s="852">
        <f>AD90-AC90</f>
        <v>-151.79644970414199</v>
      </c>
      <c r="AE91" s="829"/>
      <c r="AF91" s="830">
        <f>AF90-AE90</f>
        <v>-169.85633136094668</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5" t="s">
        <v>874</v>
      </c>
      <c r="B92" s="598" t="s">
        <v>1181</v>
      </c>
      <c r="C92" s="835"/>
      <c r="D92" s="853">
        <f>IF('Система ГВС'!F3=2,0,(D91/C90)*100)</f>
        <v>8.6834684317959283</v>
      </c>
      <c r="E92" s="74"/>
      <c r="F92" s="74"/>
      <c r="G92" s="544" t="s">
        <v>874</v>
      </c>
      <c r="H92" s="545" t="s">
        <v>1181</v>
      </c>
      <c r="I92" s="622"/>
      <c r="J92" s="854">
        <f>(J91/I90)*100</f>
        <v>58.396714856035182</v>
      </c>
      <c r="K92" s="622"/>
      <c r="L92" s="854">
        <f>(L91/K90)*100</f>
        <v>5.7562227042962121E-2</v>
      </c>
      <c r="M92" s="622"/>
      <c r="N92" s="854">
        <f>(N91/M90)*100</f>
        <v>15.782370250096783</v>
      </c>
      <c r="O92" s="622"/>
      <c r="P92" s="854">
        <f>(P91/O90)*100</f>
        <v>32.10446827840903</v>
      </c>
      <c r="Q92" s="630"/>
      <c r="R92" s="837">
        <f>(R91/Q90)*100</f>
        <v>16.497076239294888</v>
      </c>
      <c r="S92" s="622"/>
      <c r="T92" s="837">
        <f>(T91/S90)*100</f>
        <v>21.672738777738036</v>
      </c>
      <c r="U92" s="630"/>
      <c r="V92" s="837">
        <f>(V91/U90)*100</f>
        <v>91.909068481891524</v>
      </c>
      <c r="W92" s="630"/>
      <c r="X92" s="837">
        <f>(X91/W90)*100</f>
        <v>-37.105872950564724</v>
      </c>
      <c r="Y92" s="630"/>
      <c r="Z92" s="837">
        <f>(Z91/Y90)*100</f>
        <v>-9.5301335340035838</v>
      </c>
      <c r="AA92" s="622"/>
      <c r="AB92" s="837">
        <f>(AB91/AA90)*100</f>
        <v>6.6162659386307876</v>
      </c>
      <c r="AC92" s="620"/>
      <c r="AD92" s="837">
        <f>(AD91/AC90)*100</f>
        <v>-25.223885880145836</v>
      </c>
      <c r="AE92" s="630"/>
      <c r="AF92" s="837">
        <f>(AF91/AE90)*100</f>
        <v>-27.31440089855035</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4" t="s">
        <v>1221</v>
      </c>
      <c r="B93" s="825" t="s">
        <v>1190</v>
      </c>
      <c r="C93" s="855">
        <f>C85/('Ввод исходных данных'!$G$45+'Ввод исходных данных'!$G$23)</f>
        <v>24.129816429475948</v>
      </c>
      <c r="D93" s="856">
        <f>D85/('Ввод исходных данных'!$G$45+'Ввод исходных данных'!$G$23)</f>
        <v>35.562672579363522</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5" t="s">
        <v>874</v>
      </c>
      <c r="B94" s="397" t="s">
        <v>1209</v>
      </c>
      <c r="C94" s="857">
        <f>IF('Система ГВС'!F3=2,0,C86/('Ввод исходных данных'!$G$45+'Ввод исходных данных'!D23))</f>
        <v>1.8550246686622928E-2</v>
      </c>
      <c r="D94" s="858">
        <f>D86/('Ввод исходных данных'!$G$45+'Ввод исходных данных'!D23)</f>
        <v>2.7334547991195852E-2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59" t="s">
        <v>1222</v>
      </c>
      <c r="B95" s="860" t="s">
        <v>789</v>
      </c>
      <c r="C95" s="861">
        <f>IF('Система ГВС'!F3=2,0,D167*(1-0.4*'Ввод исходных данных'!D21/'Ввод исходных данных'!D20))</f>
        <v>58.313609467455613</v>
      </c>
      <c r="D95" s="862">
        <f>D90*1000/(365*'Ввод исходных данных'!$D$22)</f>
        <v>58.689072953169799</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92" t="s">
        <v>834</v>
      </c>
      <c r="B98" s="1799" t="s">
        <v>1174</v>
      </c>
      <c r="C98" s="1801" t="s">
        <v>1175</v>
      </c>
      <c r="D98" s="1803" t="s">
        <v>1176</v>
      </c>
      <c r="E98" s="74"/>
      <c r="F98" s="74"/>
      <c r="G98" s="1781" t="s">
        <v>834</v>
      </c>
      <c r="H98" s="1783" t="s">
        <v>1174</v>
      </c>
      <c r="I98" s="1766" t="s">
        <v>488</v>
      </c>
      <c r="J98" s="1767"/>
      <c r="K98" s="1766" t="s">
        <v>489</v>
      </c>
      <c r="L98" s="1767"/>
      <c r="M98" s="1766" t="s">
        <v>490</v>
      </c>
      <c r="N98" s="1767"/>
      <c r="O98" s="1766" t="s">
        <v>491</v>
      </c>
      <c r="P98" s="1767"/>
      <c r="Q98" s="1766" t="s">
        <v>805</v>
      </c>
      <c r="R98" s="1767"/>
      <c r="S98" s="1766" t="s">
        <v>806</v>
      </c>
      <c r="T98" s="1767"/>
      <c r="U98" s="1766" t="s">
        <v>807</v>
      </c>
      <c r="V98" s="1767"/>
      <c r="W98" s="1766" t="s">
        <v>808</v>
      </c>
      <c r="X98" s="1767"/>
      <c r="Y98" s="1766" t="s">
        <v>809</v>
      </c>
      <c r="Z98" s="1767"/>
      <c r="AA98" s="1766" t="s">
        <v>482</v>
      </c>
      <c r="AB98" s="1767"/>
      <c r="AC98" s="1766" t="s">
        <v>486</v>
      </c>
      <c r="AD98" s="1767"/>
      <c r="AE98" s="1766" t="s">
        <v>487</v>
      </c>
      <c r="AF98" s="176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93"/>
      <c r="B99" s="1800"/>
      <c r="C99" s="1802"/>
      <c r="D99" s="1804"/>
      <c r="E99" s="74"/>
      <c r="F99" s="74"/>
      <c r="G99" s="1782"/>
      <c r="H99" s="1784"/>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4" t="s">
        <v>1224</v>
      </c>
      <c r="B100" s="863" t="s">
        <v>842</v>
      </c>
      <c r="C100" s="864">
        <f>C102+C104+C106+C111</f>
        <v>218331.2</v>
      </c>
      <c r="D100" s="841">
        <f>'Ввод исходных данных'!Y235*1000</f>
        <v>15060</v>
      </c>
      <c r="E100" s="74"/>
      <c r="F100" s="74"/>
      <c r="G100" s="808" t="s">
        <v>1225</v>
      </c>
      <c r="H100" s="865" t="s">
        <v>842</v>
      </c>
      <c r="I100" s="810">
        <f>I102+I104+I106+I111</f>
        <v>18592.266666666666</v>
      </c>
      <c r="J100" s="866">
        <f>'Ввод исходных данных'!$Y$223*1000</f>
        <v>1400</v>
      </c>
      <c r="K100" s="810">
        <f>K102+K104+K106+K111</f>
        <v>18347.466666666667</v>
      </c>
      <c r="L100" s="866">
        <f>'Ввод исходных данных'!$Y$224*1000</f>
        <v>2250.0000000000005</v>
      </c>
      <c r="M100" s="810">
        <f>M102+M104+M106+M111</f>
        <v>18592.266666666666</v>
      </c>
      <c r="N100" s="866">
        <f>'Ввод исходных данных'!$Y$225*1000</f>
        <v>1310.0000000000002</v>
      </c>
      <c r="O100" s="810">
        <f>O102+O104+O106+O111</f>
        <v>18510.666666666664</v>
      </c>
      <c r="P100" s="866">
        <f>'Ввод исходных данных'!$Y$226*1000</f>
        <v>1300</v>
      </c>
      <c r="Q100" s="810">
        <f>Q102+Q104+Q106+Q111</f>
        <v>17892.666666666664</v>
      </c>
      <c r="R100" s="866">
        <f>'Ввод исходных данных'!$Y$227*1000</f>
        <v>600.00000000000011</v>
      </c>
      <c r="S100" s="810">
        <f>S102+S104+S106+S111</f>
        <v>17718.666666666664</v>
      </c>
      <c r="T100" s="866">
        <f>'Ввод исходных данных'!$Y$228*1000</f>
        <v>700.00000000000011</v>
      </c>
      <c r="U100" s="810">
        <f>U102+U104+U106+U111</f>
        <v>17370.666666666664</v>
      </c>
      <c r="V100" s="866">
        <f>'Ввод исходных данных'!$Y$229*1000</f>
        <v>1300</v>
      </c>
      <c r="W100" s="810">
        <f>W102+W104+W106+W111</f>
        <v>17773.866666666665</v>
      </c>
      <c r="X100" s="866">
        <f>'Ввод исходных данных'!$Y$230*1000</f>
        <v>1500.0000000000002</v>
      </c>
      <c r="Y100" s="810">
        <f>Y102+Y104+Y106+Y111</f>
        <v>17837.466666666667</v>
      </c>
      <c r="Z100" s="866">
        <f>'Ввод исходных данных'!$Y$231*1000</f>
        <v>1200.0000000000002</v>
      </c>
      <c r="AA100" s="810">
        <f>AA102+AA104+AA106+AA111</f>
        <v>18592.266666666666</v>
      </c>
      <c r="AB100" s="866">
        <f>'Ввод исходных данных'!$Y$232*1000</f>
        <v>1000</v>
      </c>
      <c r="AC100" s="810">
        <f>AC102+AC104+AC106+AC111</f>
        <v>18510.666666666664</v>
      </c>
      <c r="AD100" s="866">
        <f>'Ввод исходных данных'!$Y$233*1000</f>
        <v>1300</v>
      </c>
      <c r="AE100" s="810">
        <f>AE102+AE104+AE106+AE111</f>
        <v>18592.266666666666</v>
      </c>
      <c r="AF100" s="866">
        <f>'Ввод исходных данных'!$Y$234*1000</f>
        <v>1200</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100.00000000000001</v>
      </c>
      <c r="P101" s="874">
        <f>P103+P105+P107+P112</f>
        <v>100.00000000000001</v>
      </c>
      <c r="Q101" s="873">
        <f>Q103+Q105+Q107+Q112</f>
        <v>100.00000000000001</v>
      </c>
      <c r="R101" s="874">
        <f>R103+R105+R107+R112</f>
        <v>99.999999999999986</v>
      </c>
      <c r="S101" s="873">
        <f>S103+S105+S107+S112</f>
        <v>100.00000000000001</v>
      </c>
      <c r="T101" s="874">
        <f>T103+T105+T107+T112</f>
        <v>100</v>
      </c>
      <c r="U101" s="873">
        <f>U103+U105+U107+U112</f>
        <v>100.00000000000001</v>
      </c>
      <c r="V101" s="874">
        <f>V103+V105+V107+V112</f>
        <v>100.00000000000001</v>
      </c>
      <c r="W101" s="873">
        <f>W103+W105+W107+W112</f>
        <v>100</v>
      </c>
      <c r="X101" s="874">
        <f>X103+X105+X107+X112</f>
        <v>100</v>
      </c>
      <c r="Y101" s="873">
        <f>Y103+Y105+Y107+Y112</f>
        <v>99.999999999999986</v>
      </c>
      <c r="Z101" s="874">
        <f>Z103+Z105+Z107+Z112</f>
        <v>99.999999999999986</v>
      </c>
      <c r="AA101" s="873">
        <f>AA103+AA105+AA107+AA112</f>
        <v>100</v>
      </c>
      <c r="AB101" s="874">
        <f>AB103+AB105+AB107+AB112</f>
        <v>100</v>
      </c>
      <c r="AC101" s="873">
        <f>AC103+AC105+AC107+AC112</f>
        <v>100.00000000000001</v>
      </c>
      <c r="AD101" s="874">
        <f>AD103+AD105+AD107+AD112</f>
        <v>100.00000000000001</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6" t="s">
        <v>1226</v>
      </c>
      <c r="B102" s="877" t="s">
        <v>842</v>
      </c>
      <c r="C102" s="878">
        <f>SUM('Система электроснабжения'!B18:B22)</f>
        <v>16752</v>
      </c>
      <c r="D102" s="879">
        <f>'Ввод исходных данных'!Z235*1000</f>
        <v>1155.5156569468772</v>
      </c>
      <c r="E102" s="74"/>
      <c r="F102" s="74"/>
      <c r="G102" s="880" t="s">
        <v>1226</v>
      </c>
      <c r="H102" s="881" t="s">
        <v>842</v>
      </c>
      <c r="I102" s="882">
        <f>$C$102/12</f>
        <v>1396</v>
      </c>
      <c r="J102" s="875">
        <f>'Ввод исходных данных'!$Z$223*1000</f>
        <v>105.11897419715723</v>
      </c>
      <c r="K102" s="882">
        <f>$C$102/12</f>
        <v>1396</v>
      </c>
      <c r="L102" s="875">
        <f>'Ввод исходных данных'!$Z$224*1000</f>
        <v>171.19529671671293</v>
      </c>
      <c r="M102" s="882">
        <f>$C$102/12</f>
        <v>1396</v>
      </c>
      <c r="N102" s="875">
        <f>'Ввод исходных данных'!$Z$225*1000</f>
        <v>98.361325855911417</v>
      </c>
      <c r="O102" s="882">
        <f>$C$102/12</f>
        <v>1396</v>
      </c>
      <c r="P102" s="875">
        <f>'Ввод исходных данных'!$Z$226*1000</f>
        <v>98.040769286177351</v>
      </c>
      <c r="Q102" s="882">
        <f>$C$102/12</f>
        <v>1396</v>
      </c>
      <c r="R102" s="875">
        <f>'Ввод исходных данных'!$Z$227*1000</f>
        <v>46.812474384291519</v>
      </c>
      <c r="S102" s="882">
        <f>$C$102/12</f>
        <v>1396</v>
      </c>
      <c r="T102" s="875">
        <f>'Ввод исходных данных'!$Z$228*1000</f>
        <v>55.150876664910832</v>
      </c>
      <c r="U102" s="882">
        <f>$C$102/12</f>
        <v>1396</v>
      </c>
      <c r="V102" s="875">
        <f>'Ввод исходных данных'!$Z$229*1000</f>
        <v>104.47497697267424</v>
      </c>
      <c r="W102" s="882">
        <f>$C$102/12</f>
        <v>1396</v>
      </c>
      <c r="X102" s="875">
        <f>'Ввод исходных данных'!$Z$230*1000</f>
        <v>117.81341895216947</v>
      </c>
      <c r="Y102" s="882">
        <f>$C$102/12</f>
        <v>1396</v>
      </c>
      <c r="Z102" s="875">
        <f>'Ввод исходных данных'!$Z$231*1000</f>
        <v>93.914681457008101</v>
      </c>
      <c r="AA102" s="882">
        <f>$C$102/12</f>
        <v>1396</v>
      </c>
      <c r="AB102" s="875">
        <f>'Ввод исходных данных'!$Z$232*1000</f>
        <v>75.084981569398025</v>
      </c>
      <c r="AC102" s="882">
        <f>$C$102/12</f>
        <v>1396</v>
      </c>
      <c r="AD102" s="875">
        <f>'Ввод исходных данных'!$Z$233*1000</f>
        <v>98.040769286177351</v>
      </c>
      <c r="AE102" s="882">
        <f>$C$102/12</f>
        <v>1396</v>
      </c>
      <c r="AF102" s="875">
        <f>'Ввод исходных данных'!$Z$234*1000</f>
        <v>90.101977883277613</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58" t="s">
        <v>874</v>
      </c>
      <c r="B103" s="877" t="s">
        <v>1181</v>
      </c>
      <c r="C103" s="883">
        <f>C102/$C$100</f>
        <v>7.6727467260748805E-2</v>
      </c>
      <c r="D103" s="884">
        <f>D102/$D$100</f>
        <v>7.6727467260748819E-2</v>
      </c>
      <c r="E103" s="74"/>
      <c r="F103" s="74"/>
      <c r="G103" s="539" t="s">
        <v>874</v>
      </c>
      <c r="H103" s="881" t="s">
        <v>1181</v>
      </c>
      <c r="I103" s="882">
        <f t="shared" ref="I103:AF103" si="194">(I102/I100)*100</f>
        <v>7.5084981569398028</v>
      </c>
      <c r="J103" s="885">
        <f t="shared" si="194"/>
        <v>7.5084981569398028</v>
      </c>
      <c r="K103" s="886">
        <f t="shared" si="194"/>
        <v>7.6086798540761311</v>
      </c>
      <c r="L103" s="887">
        <f t="shared" si="194"/>
        <v>7.6086798540761293</v>
      </c>
      <c r="M103" s="886">
        <f t="shared" si="194"/>
        <v>7.5084981569398028</v>
      </c>
      <c r="N103" s="887">
        <f t="shared" si="194"/>
        <v>7.508498156939801</v>
      </c>
      <c r="O103" s="886">
        <f t="shared" si="194"/>
        <v>7.5415976373982581</v>
      </c>
      <c r="P103" s="887">
        <f t="shared" si="194"/>
        <v>7.5415976373982581</v>
      </c>
      <c r="Q103" s="886">
        <f t="shared" si="194"/>
        <v>7.8020790640485869</v>
      </c>
      <c r="R103" s="887">
        <f t="shared" si="194"/>
        <v>7.8020790640485851</v>
      </c>
      <c r="S103" s="886">
        <f t="shared" si="194"/>
        <v>7.8786966664158342</v>
      </c>
      <c r="T103" s="887">
        <f t="shared" si="194"/>
        <v>7.8786966664158324</v>
      </c>
      <c r="U103" s="886">
        <f t="shared" si="194"/>
        <v>8.0365366902057112</v>
      </c>
      <c r="V103" s="887">
        <f t="shared" si="194"/>
        <v>8.0365366902057112</v>
      </c>
      <c r="W103" s="886">
        <f t="shared" si="194"/>
        <v>7.8542279301446323</v>
      </c>
      <c r="X103" s="887">
        <f t="shared" si="194"/>
        <v>7.8542279301446305</v>
      </c>
      <c r="Y103" s="886">
        <f t="shared" si="194"/>
        <v>7.826223454750675</v>
      </c>
      <c r="Z103" s="887">
        <f t="shared" si="194"/>
        <v>7.8262234547506733</v>
      </c>
      <c r="AA103" s="886">
        <f t="shared" si="194"/>
        <v>7.5084981569398028</v>
      </c>
      <c r="AB103" s="887">
        <f t="shared" si="194"/>
        <v>7.5084981569398028</v>
      </c>
      <c r="AC103" s="886">
        <f t="shared" si="194"/>
        <v>7.5415976373982581</v>
      </c>
      <c r="AD103" s="887">
        <f t="shared" si="194"/>
        <v>7.5415976373982581</v>
      </c>
      <c r="AE103" s="886">
        <f t="shared" si="194"/>
        <v>7.5084981569398028</v>
      </c>
      <c r="AF103" s="887">
        <f t="shared" si="194"/>
        <v>7.508498156939801</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6" t="s">
        <v>1233</v>
      </c>
      <c r="B104" s="877" t="s">
        <v>842</v>
      </c>
      <c r="C104" s="878">
        <f>'Ввод исходных данных'!D140*'Ввод исходных данных'!D141</f>
        <v>176000</v>
      </c>
      <c r="D104" s="879">
        <f>'Ввод исходных данных'!AA235*1000</f>
        <v>12140.088086356875</v>
      </c>
      <c r="E104" s="74"/>
      <c r="F104" s="74"/>
      <c r="G104" s="880" t="s">
        <v>1233</v>
      </c>
      <c r="H104" s="881" t="s">
        <v>842</v>
      </c>
      <c r="I104" s="888">
        <f>C104/12</f>
        <v>14666.666666666666</v>
      </c>
      <c r="J104" s="615">
        <f>'Ввод исходных данных'!$AA$223*1000</f>
        <v>1104.4018301516041</v>
      </c>
      <c r="K104" s="888">
        <f>I104</f>
        <v>14666.666666666666</v>
      </c>
      <c r="L104" s="615">
        <f>'Ввод исходных данных'!$AA$224*1000</f>
        <v>1798.6134325538133</v>
      </c>
      <c r="M104" s="888">
        <f>K104</f>
        <v>14666.666666666666</v>
      </c>
      <c r="N104" s="615">
        <f>'Ввод исходных данных'!$AA$225*1000</f>
        <v>1033.4045696418584</v>
      </c>
      <c r="O104" s="888">
        <f>M104</f>
        <v>14666.666666666666</v>
      </c>
      <c r="P104" s="615">
        <f>'Ввод исходных данных'!$AA$226*1000</f>
        <v>1030.0367355758842</v>
      </c>
      <c r="Q104" s="888">
        <f>O104</f>
        <v>14666.666666666666</v>
      </c>
      <c r="R104" s="615">
        <f>'Ввод исходных данных'!$AA$227*1000</f>
        <v>491.82160289131491</v>
      </c>
      <c r="S104" s="888">
        <f>Q104</f>
        <v>14666.666666666666</v>
      </c>
      <c r="T104" s="615">
        <f>'Ввод исходных данных'!$AA$228*1000</f>
        <v>579.42659342313198</v>
      </c>
      <c r="U104" s="888">
        <f>S104</f>
        <v>14666.666666666666</v>
      </c>
      <c r="V104" s="615">
        <f>'Ввод исходных данных'!$AA$229*1000</f>
        <v>1097.6358612219835</v>
      </c>
      <c r="W104" s="888">
        <f>U104</f>
        <v>14666.666666666666</v>
      </c>
      <c r="X104" s="615">
        <f>'Ввод исходных данных'!$AA$230*1000</f>
        <v>1237.77230990818</v>
      </c>
      <c r="Y104" s="888">
        <f>W104</f>
        <v>14666.666666666666</v>
      </c>
      <c r="Z104" s="615">
        <f>'Ввод исходных данных'!$AA$231*1000</f>
        <v>986.68719773360942</v>
      </c>
      <c r="AA104" s="888">
        <f>Y104</f>
        <v>14666.666666666666</v>
      </c>
      <c r="AB104" s="615">
        <f>'Ввод исходных данных'!$AA$232*1000</f>
        <v>788.85845010828871</v>
      </c>
      <c r="AC104" s="888">
        <f>AA104</f>
        <v>14666.666666666666</v>
      </c>
      <c r="AD104" s="615">
        <f>'Ввод исходных данных'!$AA$233*1000</f>
        <v>1030.0367355758842</v>
      </c>
      <c r="AE104" s="888">
        <f>AC104</f>
        <v>14666.666666666666</v>
      </c>
      <c r="AF104" s="615">
        <f>'Ввод исходных данных'!$AA$234*1000</f>
        <v>946.63014012994643</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58" t="s">
        <v>874</v>
      </c>
      <c r="B105" s="877" t="s">
        <v>1181</v>
      </c>
      <c r="C105" s="883">
        <f>C104/$C$100</f>
        <v>0.80611474677004469</v>
      </c>
      <c r="D105" s="884">
        <f>D104/$D$100</f>
        <v>0.8061147467700448</v>
      </c>
      <c r="E105" s="74"/>
      <c r="F105" s="74"/>
      <c r="G105" s="539" t="s">
        <v>874</v>
      </c>
      <c r="H105" s="881" t="s">
        <v>1181</v>
      </c>
      <c r="I105" s="882">
        <f t="shared" ref="I105:AF105" si="195">(I104/I100)*100</f>
        <v>78.885845010828874</v>
      </c>
      <c r="J105" s="885">
        <f t="shared" si="195"/>
        <v>78.885845010828874</v>
      </c>
      <c r="K105" s="886">
        <f t="shared" si="195"/>
        <v>79.938374780169468</v>
      </c>
      <c r="L105" s="887">
        <f t="shared" si="195"/>
        <v>79.938374780169468</v>
      </c>
      <c r="M105" s="886">
        <f t="shared" si="195"/>
        <v>78.885845010828874</v>
      </c>
      <c r="N105" s="887">
        <f t="shared" si="195"/>
        <v>78.885845010828874</v>
      </c>
      <c r="O105" s="886">
        <f t="shared" si="195"/>
        <v>79.233595044298795</v>
      </c>
      <c r="P105" s="887">
        <f t="shared" si="195"/>
        <v>79.233595044298795</v>
      </c>
      <c r="Q105" s="886">
        <f t="shared" si="195"/>
        <v>81.970267148552495</v>
      </c>
      <c r="R105" s="887">
        <f t="shared" si="195"/>
        <v>81.970267148552466</v>
      </c>
      <c r="S105" s="886">
        <f t="shared" si="195"/>
        <v>82.775227631875993</v>
      </c>
      <c r="T105" s="887">
        <f t="shared" si="195"/>
        <v>82.775227631875978</v>
      </c>
      <c r="U105" s="886">
        <f t="shared" si="195"/>
        <v>84.433527786306428</v>
      </c>
      <c r="V105" s="887">
        <f t="shared" si="195"/>
        <v>84.433527786306428</v>
      </c>
      <c r="W105" s="886">
        <f t="shared" si="195"/>
        <v>82.518153993878656</v>
      </c>
      <c r="X105" s="887">
        <f t="shared" si="195"/>
        <v>82.518153993878656</v>
      </c>
      <c r="Y105" s="886">
        <f t="shared" si="195"/>
        <v>82.223933144467438</v>
      </c>
      <c r="Z105" s="887">
        <f t="shared" si="195"/>
        <v>82.223933144467438</v>
      </c>
      <c r="AA105" s="886">
        <f t="shared" si="195"/>
        <v>78.885845010828874</v>
      </c>
      <c r="AB105" s="887">
        <f t="shared" si="195"/>
        <v>78.885845010828874</v>
      </c>
      <c r="AC105" s="886">
        <f t="shared" si="195"/>
        <v>79.233595044298795</v>
      </c>
      <c r="AD105" s="887">
        <f t="shared" si="195"/>
        <v>79.233595044298795</v>
      </c>
      <c r="AE105" s="886">
        <f t="shared" si="195"/>
        <v>78.885845010828874</v>
      </c>
      <c r="AF105" s="887">
        <f t="shared" si="195"/>
        <v>78.885845010828874</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6" t="s">
        <v>1235</v>
      </c>
      <c r="B106" s="877" t="s">
        <v>842</v>
      </c>
      <c r="C106" s="878">
        <f>C108+C109+C110</f>
        <v>25579.200000000001</v>
      </c>
      <c r="D106" s="879">
        <f>'Ввод исходных данных'!AB235*1000</f>
        <v>1764.3962566962491</v>
      </c>
      <c r="E106" s="74"/>
      <c r="F106" s="74"/>
      <c r="G106" s="880" t="s">
        <v>1234</v>
      </c>
      <c r="H106" s="881" t="s">
        <v>842</v>
      </c>
      <c r="I106" s="878">
        <f>I108+I109+I110</f>
        <v>2529.6000000000004</v>
      </c>
      <c r="J106" s="875">
        <f>'Ввод исходных данных'!$AB$223*1000</f>
        <v>190.47919565123848</v>
      </c>
      <c r="K106" s="878">
        <f>K108+K109+K110</f>
        <v>2284.8000000000002</v>
      </c>
      <c r="L106" s="875">
        <f>'Ввод исходных данных'!$AB$224*1000</f>
        <v>280.19127072947407</v>
      </c>
      <c r="M106" s="878">
        <f>M108+M109+M110</f>
        <v>2529.6000000000004</v>
      </c>
      <c r="N106" s="875">
        <f>'Ввод исходных данных'!$AB$225*1000</f>
        <v>178.23410450223034</v>
      </c>
      <c r="O106" s="878">
        <f>O108+O109+O110</f>
        <v>2448</v>
      </c>
      <c r="P106" s="875">
        <f>'Ввод исходных данных'!$AB$226*1000</f>
        <v>171.92249513793854</v>
      </c>
      <c r="Q106" s="878">
        <f>Q108+Q109+Q110</f>
        <v>1830</v>
      </c>
      <c r="R106" s="875">
        <f>'Ввод исходных данных'!$AB$227*1000</f>
        <v>61.365922724393627</v>
      </c>
      <c r="S106" s="878">
        <f>S108+S109+S110</f>
        <v>1656</v>
      </c>
      <c r="T106" s="875">
        <f>'Ввод исходных данных'!$AB$228*1000</f>
        <v>65.42252991195727</v>
      </c>
      <c r="U106" s="878">
        <f>U108+U109+U110</f>
        <v>1308</v>
      </c>
      <c r="V106" s="875">
        <f>'Ввод исходных данных'!$AB$229*1000</f>
        <v>97.889161805342354</v>
      </c>
      <c r="W106" s="878">
        <f>W108+W109+W110</f>
        <v>1711.2</v>
      </c>
      <c r="X106" s="875">
        <f>'Ввод исходных данных'!$AB$230*1000</f>
        <v>144.41427113965074</v>
      </c>
      <c r="Y106" s="878">
        <f>Y108+Y109+Y110</f>
        <v>1774.8</v>
      </c>
      <c r="Z106" s="875">
        <f>'Ввод исходных данных'!$AB$231*1000</f>
        <v>119.3981208093825</v>
      </c>
      <c r="AA106" s="878">
        <f>AA108+AA109+AA110</f>
        <v>2529.6000000000004</v>
      </c>
      <c r="AB106" s="875">
        <f>'Ввод исходных данных'!$AB$232*1000</f>
        <v>136.05656832231321</v>
      </c>
      <c r="AC106" s="878">
        <f>AC108+AC109+AC110</f>
        <v>2448</v>
      </c>
      <c r="AD106" s="875">
        <f>'Ввод исходных данных'!$AB$233*1000</f>
        <v>171.92249513793854</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2529.6000000000004</v>
      </c>
      <c r="AF106" s="875">
        <f>'Ввод исходных данных'!$AB$234*1000</f>
        <v>163.26788198677588</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58" t="s">
        <v>874</v>
      </c>
      <c r="B107" s="877" t="s">
        <v>1181</v>
      </c>
      <c r="C107" s="883">
        <f>C106/$C$100</f>
        <v>0.11715778596920641</v>
      </c>
      <c r="D107" s="884">
        <f>D106/$D$100</f>
        <v>0.11715778596920645</v>
      </c>
      <c r="E107" s="74"/>
      <c r="F107" s="74"/>
      <c r="G107" s="539" t="s">
        <v>874</v>
      </c>
      <c r="H107" s="881" t="s">
        <v>1181</v>
      </c>
      <c r="I107" s="886">
        <f t="shared" ref="I107:AF107" si="196">(I106/I100)*100</f>
        <v>13.605656832231325</v>
      </c>
      <c r="J107" s="887">
        <f t="shared" si="196"/>
        <v>13.60565683223132</v>
      </c>
      <c r="K107" s="886">
        <f t="shared" si="196"/>
        <v>12.452945365754401</v>
      </c>
      <c r="L107" s="887">
        <f t="shared" si="196"/>
        <v>12.452945365754401</v>
      </c>
      <c r="M107" s="886">
        <f t="shared" si="196"/>
        <v>13.605656832231325</v>
      </c>
      <c r="N107" s="887">
        <f t="shared" si="196"/>
        <v>13.605656832231322</v>
      </c>
      <c r="O107" s="886">
        <f t="shared" si="196"/>
        <v>13.224807318302961</v>
      </c>
      <c r="P107" s="887">
        <f t="shared" si="196"/>
        <v>13.224807318302965</v>
      </c>
      <c r="Q107" s="886">
        <f t="shared" si="196"/>
        <v>10.227653787398935</v>
      </c>
      <c r="R107" s="887">
        <f t="shared" si="196"/>
        <v>10.227653787398935</v>
      </c>
      <c r="S107" s="886">
        <f t="shared" si="196"/>
        <v>9.3460757017081821</v>
      </c>
      <c r="T107" s="887">
        <f t="shared" si="196"/>
        <v>9.3460757017081804</v>
      </c>
      <c r="U107" s="886">
        <f t="shared" si="196"/>
        <v>7.5299355234878735</v>
      </c>
      <c r="V107" s="887">
        <f t="shared" si="196"/>
        <v>7.5299355234878735</v>
      </c>
      <c r="W107" s="886">
        <f t="shared" si="196"/>
        <v>9.6276180759767147</v>
      </c>
      <c r="X107" s="887">
        <f t="shared" si="196"/>
        <v>9.6276180759767147</v>
      </c>
      <c r="Y107" s="886">
        <f t="shared" si="196"/>
        <v>9.9498434007818748</v>
      </c>
      <c r="Z107" s="887">
        <f t="shared" si="196"/>
        <v>9.949843400781873</v>
      </c>
      <c r="AA107" s="886">
        <f t="shared" si="196"/>
        <v>13.605656832231325</v>
      </c>
      <c r="AB107" s="887">
        <f t="shared" si="196"/>
        <v>13.605656832231322</v>
      </c>
      <c r="AC107" s="886">
        <f t="shared" si="196"/>
        <v>13.224807318302961</v>
      </c>
      <c r="AD107" s="887">
        <f t="shared" si="196"/>
        <v>13.224807318302965</v>
      </c>
      <c r="AE107" s="886">
        <f t="shared" si="196"/>
        <v>13.605656832231325</v>
      </c>
      <c r="AF107" s="887">
        <f t="shared" si="196"/>
        <v>13.605656832231322</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58" t="s">
        <v>1350</v>
      </c>
      <c r="B108" s="877" t="s">
        <v>842</v>
      </c>
      <c r="C108" s="889">
        <f>'Ввод исходных данных'!D146*'Ввод исходных данных'!D147</f>
        <v>5834.4000000000005</v>
      </c>
      <c r="D108" s="890">
        <f>'Ввод исходных данных'!AC235*1000</f>
        <v>402.44392006273051</v>
      </c>
      <c r="E108" s="419"/>
      <c r="F108" s="74"/>
      <c r="G108" s="358" t="s">
        <v>1350</v>
      </c>
      <c r="H108" s="877" t="s">
        <v>842</v>
      </c>
      <c r="I108" s="886">
        <f>'Ввод исходных данных'!$D$146*'Расчет базового уровня'!$G$146*24</f>
        <v>818.40000000000009</v>
      </c>
      <c r="J108" s="887"/>
      <c r="K108" s="886">
        <f>'Ввод исходных данных'!$D$146*'Расчет базового уровня'!$H$146*24</f>
        <v>739.2</v>
      </c>
      <c r="L108" s="887"/>
      <c r="M108" s="886">
        <f>'Ввод исходных данных'!$D$146*'Расчет базового уровня'!$I$146*24</f>
        <v>818.40000000000009</v>
      </c>
      <c r="N108" s="887"/>
      <c r="O108" s="888">
        <f>'Ввод исходных данных'!$D$146*'Расчет базового уровня'!$J$146*24</f>
        <v>792</v>
      </c>
      <c r="P108" s="887"/>
      <c r="Q108" s="888">
        <f>'Ввод исходных данных'!$D$146*'Расчет базового уровня'!$K$146*24</f>
        <v>118.80000000000001</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118.80000000000001</v>
      </c>
      <c r="Z108" s="887"/>
      <c r="AA108" s="888">
        <f>'Ввод исходных данных'!$D$146*'Расчет базового уровня'!$P$146*24</f>
        <v>818.40000000000009</v>
      </c>
      <c r="AB108" s="887"/>
      <c r="AC108" s="888">
        <f>'Ввод исходных данных'!$D$146*'Расчет базового уровня'!$Q$146*24</f>
        <v>792</v>
      </c>
      <c r="AD108" s="887"/>
      <c r="AE108" s="886">
        <f>'Ввод исходных данных'!$D$146*'Расчет базового уровня'!$R$146*24</f>
        <v>818.40000000000009</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58" t="s">
        <v>1410</v>
      </c>
      <c r="B109" s="877" t="s">
        <v>842</v>
      </c>
      <c r="C109" s="889">
        <f>'Ввод исходных данных'!D150*'Ввод исходных данных'!D151</f>
        <v>10108.799999999999</v>
      </c>
      <c r="D109" s="890">
        <f>'Ввод исходных данных'!AD235*1000</f>
        <v>697.2825139054795</v>
      </c>
      <c r="E109" s="74"/>
      <c r="F109" s="74"/>
      <c r="G109" s="358" t="s">
        <v>1410</v>
      </c>
      <c r="H109" s="877" t="s">
        <v>842</v>
      </c>
      <c r="I109" s="886">
        <f>'Ввод исходных данных'!$D$150*'Расчет базового уровня'!$G$170*24</f>
        <v>892.8</v>
      </c>
      <c r="J109" s="887"/>
      <c r="K109" s="886">
        <f>'Ввод исходных данных'!$D$150*'Расчет базового уровня'!$H$170*24</f>
        <v>806.40000000000009</v>
      </c>
      <c r="L109" s="887"/>
      <c r="M109" s="886">
        <f>'Ввод исходных данных'!$D$150*'Расчет базового уровня'!$I$170*24</f>
        <v>892.8</v>
      </c>
      <c r="N109" s="887"/>
      <c r="O109" s="888">
        <f>'Ввод исходных данных'!$D$150*'Расчет базового уровня'!$J$170*24</f>
        <v>864</v>
      </c>
      <c r="P109" s="887"/>
      <c r="Q109" s="888">
        <f>'Ввод исходных данных'!$D$150*'Расчет базового уровня'!$K$170*24</f>
        <v>892.8</v>
      </c>
      <c r="R109" s="887"/>
      <c r="S109" s="888">
        <f>'Ввод исходных данных'!$D$150*'Расчет базового уровня'!$L$170*24</f>
        <v>864</v>
      </c>
      <c r="T109" s="887"/>
      <c r="U109" s="888">
        <f>'Ввод исходных данных'!$D$150*'Расчет базового уровня'!$M$170*24</f>
        <v>489.59999999999997</v>
      </c>
      <c r="V109" s="887"/>
      <c r="W109" s="888">
        <f>'Ввод исходных данных'!$D$150*'Расчет базового уровня'!$N$170*24</f>
        <v>892.8</v>
      </c>
      <c r="X109" s="887"/>
      <c r="Y109" s="888">
        <f>'Ввод исходных данных'!$D$150*'Расчет базового уровня'!$O$170*24</f>
        <v>864</v>
      </c>
      <c r="Z109" s="887"/>
      <c r="AA109" s="888">
        <f>'Ввод исходных данных'!$D$150*'Расчет базового уровня'!$P$170*24</f>
        <v>892.8</v>
      </c>
      <c r="AB109" s="887"/>
      <c r="AC109" s="888">
        <f>'Ввод исходных данных'!$D$150*'Расчет базового уровня'!$Q$170*24</f>
        <v>864</v>
      </c>
      <c r="AD109" s="887"/>
      <c r="AE109" s="886">
        <f>'Ввод исходных данных'!$D$150*'Расчет базового уровня'!$R$170*24</f>
        <v>892.8</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58" t="s">
        <v>1411</v>
      </c>
      <c r="B110" s="877" t="s">
        <v>842</v>
      </c>
      <c r="C110" s="889">
        <f>'Ввод исходных данных'!D154*'Ввод исходных данных'!D155</f>
        <v>9636</v>
      </c>
      <c r="D110" s="890">
        <f>'Ввод исходных данных'!AE235*1000</f>
        <v>664.66982272803887</v>
      </c>
      <c r="E110" s="74"/>
      <c r="F110" s="74"/>
      <c r="G110" s="358" t="s">
        <v>1411</v>
      </c>
      <c r="H110" s="877" t="s">
        <v>842</v>
      </c>
      <c r="I110" s="886">
        <f>'Ввод исходных данных'!$D$154*'Расчет базового уровня'!$G$165*24</f>
        <v>818.40000000000009</v>
      </c>
      <c r="J110" s="887"/>
      <c r="K110" s="886">
        <f>'Ввод исходных данных'!$D$154*'Расчет базового уровня'!$H$165*24</f>
        <v>739.2</v>
      </c>
      <c r="L110" s="887"/>
      <c r="M110" s="886">
        <f>'Ввод исходных данных'!$D$154*'Расчет базового уровня'!$I$165*24</f>
        <v>818.40000000000009</v>
      </c>
      <c r="N110" s="887"/>
      <c r="O110" s="888">
        <f>'Ввод исходных данных'!$D$154*'Расчет базового уровня'!$J$165*24</f>
        <v>792</v>
      </c>
      <c r="P110" s="887"/>
      <c r="Q110" s="888">
        <f>'Ввод исходных данных'!$D$154*'Расчет базового уровня'!$K$165*24</f>
        <v>818.40000000000009</v>
      </c>
      <c r="R110" s="887"/>
      <c r="S110" s="888">
        <f>'Ввод исходных данных'!$D$154*'Расчет базового уровня'!$L$165*24</f>
        <v>792</v>
      </c>
      <c r="T110" s="887"/>
      <c r="U110" s="888">
        <f>'Ввод исходных данных'!$D$154*'Расчет базового уровня'!$M$165*24</f>
        <v>818.40000000000009</v>
      </c>
      <c r="V110" s="887"/>
      <c r="W110" s="888">
        <f>'Ввод исходных данных'!$D$154*'Расчет базового уровня'!$N$165*24</f>
        <v>818.40000000000009</v>
      </c>
      <c r="X110" s="887"/>
      <c r="Y110" s="888">
        <f>'Ввод исходных данных'!$D$154*'Расчет базового уровня'!$O$165*24</f>
        <v>792</v>
      </c>
      <c r="Z110" s="887"/>
      <c r="AA110" s="888">
        <f>'Ввод исходных данных'!$D$154*'Расчет базового уровня'!$P$165*24</f>
        <v>818.40000000000009</v>
      </c>
      <c r="AB110" s="887"/>
      <c r="AC110" s="888">
        <f>'Ввод исходных данных'!$D$154*'Расчет базового уровня'!$Q$165*24</f>
        <v>792</v>
      </c>
      <c r="AD110" s="887"/>
      <c r="AE110" s="886">
        <f>'Ввод исходных данных'!$D$154*'Расчет базового уровня'!$R$165*24</f>
        <v>818.40000000000009</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4" t="s">
        <v>1228</v>
      </c>
      <c r="B113" s="825" t="s">
        <v>842</v>
      </c>
      <c r="C113" s="658"/>
      <c r="D113" s="538">
        <f>D100-C100</f>
        <v>-203271.2</v>
      </c>
      <c r="E113" s="74"/>
      <c r="F113" s="74"/>
      <c r="G113" s="824" t="s">
        <v>1229</v>
      </c>
      <c r="H113" s="897" t="s">
        <v>842</v>
      </c>
      <c r="I113" s="898"/>
      <c r="J113" s="899">
        <f>J100-I100</f>
        <v>-17192.266666666666</v>
      </c>
      <c r="K113" s="900"/>
      <c r="L113" s="901">
        <f>L100-K100</f>
        <v>-16097.466666666667</v>
      </c>
      <c r="M113" s="902"/>
      <c r="N113" s="903">
        <f>N100-M100</f>
        <v>-17282.266666666666</v>
      </c>
      <c r="O113" s="904"/>
      <c r="P113" s="903">
        <f>P100-O100</f>
        <v>-17210.666666666664</v>
      </c>
      <c r="Q113" s="902"/>
      <c r="R113" s="903">
        <f>R100-Q100</f>
        <v>-17292.666666666664</v>
      </c>
      <c r="S113" s="902"/>
      <c r="T113" s="903">
        <f>T100-S100</f>
        <v>-17018.666666666664</v>
      </c>
      <c r="U113" s="902"/>
      <c r="V113" s="903">
        <f>V100-U100</f>
        <v>-16070.666666666664</v>
      </c>
      <c r="W113" s="902"/>
      <c r="X113" s="903">
        <f>X100-W100</f>
        <v>-16273.866666666665</v>
      </c>
      <c r="Y113" s="902"/>
      <c r="Z113" s="903">
        <f>Z100-Y100</f>
        <v>-16637.466666666667</v>
      </c>
      <c r="AA113" s="902"/>
      <c r="AB113" s="903">
        <f>AB100-AA100</f>
        <v>-17592.266666666666</v>
      </c>
      <c r="AC113" s="902"/>
      <c r="AD113" s="903">
        <f>AD100-AC100</f>
        <v>-17210.666666666664</v>
      </c>
      <c r="AE113" s="902"/>
      <c r="AF113" s="903">
        <f>AF100-AE100</f>
        <v>-17392.266666666666</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5" t="s">
        <v>874</v>
      </c>
      <c r="B114" s="386" t="s">
        <v>1181</v>
      </c>
      <c r="C114" s="905"/>
      <c r="D114" s="906">
        <f>(D113/C100)*100</f>
        <v>-93.102222678206331</v>
      </c>
      <c r="E114" s="74"/>
      <c r="F114" s="74"/>
      <c r="G114" s="385" t="s">
        <v>874</v>
      </c>
      <c r="H114" s="907" t="s">
        <v>1181</v>
      </c>
      <c r="I114" s="908"/>
      <c r="J114" s="909">
        <f>(J113/I100)*100</f>
        <v>-92.469987521693611</v>
      </c>
      <c r="K114" s="908"/>
      <c r="L114" s="909">
        <f>(L113/K100)*100</f>
        <v>-87.736726596224003</v>
      </c>
      <c r="M114" s="894"/>
      <c r="N114" s="906">
        <f>(N113/M100)*100</f>
        <v>-92.954059752441879</v>
      </c>
      <c r="O114" s="894"/>
      <c r="P114" s="906">
        <f>(P113/O100)*100</f>
        <v>-92.977022257437142</v>
      </c>
      <c r="Q114" s="894"/>
      <c r="R114" s="906">
        <f>(R113/Q100)*100</f>
        <v>-96.64667088937739</v>
      </c>
      <c r="S114" s="894"/>
      <c r="T114" s="906">
        <f>(T113/S100)*100</f>
        <v>-96.049364135751375</v>
      </c>
      <c r="U114" s="894"/>
      <c r="V114" s="906">
        <f>(V113/U100)*100</f>
        <v>-92.516119128031931</v>
      </c>
      <c r="W114" s="894"/>
      <c r="X114" s="906">
        <f>(X113/W100)*100</f>
        <v>-91.56064334153514</v>
      </c>
      <c r="Y114" s="894"/>
      <c r="Z114" s="906">
        <f>(Z113/Y100)*100</f>
        <v>-93.272587288179935</v>
      </c>
      <c r="AA114" s="894"/>
      <c r="AB114" s="906">
        <f>(AB113/AA100)*100</f>
        <v>-94.621419658352579</v>
      </c>
      <c r="AC114" s="894"/>
      <c r="AD114" s="906">
        <f>(AD113/AC100)*100</f>
        <v>-92.977022257437142</v>
      </c>
      <c r="AE114" s="894"/>
      <c r="AF114" s="906">
        <f>(AF113/AE100)*100</f>
        <v>-93.545703590023095</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0" t="s">
        <v>1230</v>
      </c>
      <c r="B115" s="911" t="s">
        <v>1190</v>
      </c>
      <c r="C115" s="465">
        <f>C100/('Ввод исходных данных'!$G$45++'Ввод исходных данных'!D23)</f>
        <v>6.9544853683630468</v>
      </c>
      <c r="D115" s="465">
        <f>D100/('Ввод исходных данных'!$G$45+'Ввод исходных данных'!D23)</f>
        <v>0.4797049145864058</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25">
      <c r="A134" s="480" t="s">
        <v>514</v>
      </c>
      <c r="B134" s="483">
        <f>'Ввод исходных данных'!G51</f>
        <v>12544</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3.5735350000000001</v>
      </c>
      <c r="D134" s="481">
        <v>1</v>
      </c>
      <c r="E134" s="483">
        <f>IF(C134=0,0,B134/C134*D134)</f>
        <v>3510.2496547536261</v>
      </c>
      <c r="F134" s="484">
        <f>E134*(20-$D$145)</f>
        <v>200084.2303209567</v>
      </c>
      <c r="G134" s="483">
        <f t="shared" ref="G134:R134" si="198">$E$134*0.024*G$147</f>
        <v>97413.640218998829</v>
      </c>
      <c r="H134" s="483">
        <f t="shared" si="198"/>
        <v>84212.293317401403</v>
      </c>
      <c r="I134" s="483">
        <f t="shared" si="198"/>
        <v>74170.17110508222</v>
      </c>
      <c r="J134" s="483">
        <f t="shared" si="198"/>
        <v>44987.359575322473</v>
      </c>
      <c r="K134" s="483">
        <f t="shared" si="198"/>
        <v>3374.0519681491855</v>
      </c>
      <c r="L134" s="483">
        <f t="shared" si="198"/>
        <v>0</v>
      </c>
      <c r="M134" s="483">
        <f t="shared" si="198"/>
        <v>0</v>
      </c>
      <c r="N134" s="483">
        <f t="shared" si="198"/>
        <v>0</v>
      </c>
      <c r="O134" s="483">
        <f t="shared" si="198"/>
        <v>3715.2482345912381</v>
      </c>
      <c r="P134" s="483">
        <f t="shared" si="198"/>
        <v>45703.450504892215</v>
      </c>
      <c r="Q134" s="483">
        <f t="shared" si="198"/>
        <v>69250.20518897954</v>
      </c>
      <c r="R134" s="483">
        <f t="shared" si="198"/>
        <v>90101.088138216073</v>
      </c>
      <c r="S134" s="74"/>
      <c r="T134" s="74"/>
      <c r="U134" s="74"/>
      <c r="V134" s="74"/>
      <c r="W134" s="74"/>
      <c r="X134" s="74"/>
      <c r="Y134" s="74"/>
      <c r="Z134" s="74"/>
      <c r="AA134" s="74"/>
      <c r="AB134" s="74"/>
      <c r="AC134" s="74"/>
      <c r="AD134" s="74"/>
      <c r="AE134" s="74"/>
      <c r="AF134" s="74"/>
      <c r="AG134" s="74"/>
      <c r="AH134" s="74"/>
    </row>
    <row r="135" spans="1:67" x14ac:dyDescent="0.25">
      <c r="A135" s="480" t="s">
        <v>611</v>
      </c>
      <c r="B135" s="483">
        <f>'Ввод исходных данных'!G53</f>
        <v>1520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0.52</v>
      </c>
      <c r="D135" s="481">
        <v>1</v>
      </c>
      <c r="E135" s="483">
        <f t="shared" ref="E135:E138" si="199">IF(C135=0,0,B135/C135*D135)</f>
        <v>2923.0769230769229</v>
      </c>
      <c r="F135" s="484">
        <f t="shared" ref="F135:F143" si="200">E135*(20-$D$145)</f>
        <v>166615.3846153846</v>
      </c>
      <c r="G135" s="483">
        <f t="shared" ref="G135:R135" si="201">$E$135*0.024*G$147</f>
        <v>81118.892307692295</v>
      </c>
      <c r="H135" s="483">
        <f t="shared" si="201"/>
        <v>70125.784615384619</v>
      </c>
      <c r="I135" s="483">
        <f t="shared" si="201"/>
        <v>61763.446153846147</v>
      </c>
      <c r="J135" s="483">
        <f t="shared" si="201"/>
        <v>37462.153846153844</v>
      </c>
      <c r="K135" s="483">
        <f t="shared" si="201"/>
        <v>2809.6615384615384</v>
      </c>
      <c r="L135" s="483">
        <f t="shared" si="201"/>
        <v>0</v>
      </c>
      <c r="M135" s="483">
        <f t="shared" si="201"/>
        <v>0</v>
      </c>
      <c r="N135" s="483">
        <f t="shared" si="201"/>
        <v>0</v>
      </c>
      <c r="O135" s="483">
        <f t="shared" si="201"/>
        <v>3093.7846153846153</v>
      </c>
      <c r="P135" s="483">
        <f t="shared" si="201"/>
        <v>38058.461538461532</v>
      </c>
      <c r="Q135" s="483">
        <f t="shared" si="201"/>
        <v>57666.461538461532</v>
      </c>
      <c r="R135" s="483">
        <f t="shared" si="201"/>
        <v>75029.538461538454</v>
      </c>
      <c r="S135" s="74"/>
      <c r="T135" s="74"/>
      <c r="U135" s="74"/>
      <c r="V135" s="74"/>
      <c r="W135" s="74"/>
      <c r="X135" s="74"/>
      <c r="Y135" s="74"/>
      <c r="Z135" s="74"/>
      <c r="AA135" s="74"/>
      <c r="AB135" s="74"/>
      <c r="AC135" s="74"/>
      <c r="AD135" s="74"/>
      <c r="AE135" s="74"/>
      <c r="AF135" s="74"/>
      <c r="AG135" s="74"/>
      <c r="AH135" s="74"/>
    </row>
    <row r="136" spans="1:67" x14ac:dyDescent="0.25">
      <c r="A136" s="480" t="s">
        <v>612</v>
      </c>
      <c r="B136" s="483">
        <f>'Ввод исходных данных'!G56</f>
        <v>190</v>
      </c>
      <c r="C136" s="912">
        <f>IF('Ввод исходных данных'!D72=0,0.4*(1-'Ввод исходных данных'!$D$34/'Ввод исходных данных'!G55)+0.55*('Ввод исходных данных'!$D$34/'Ввод исходных данных'!G55),'Ввод исходных данных'!D72)</f>
        <v>0.4</v>
      </c>
      <c r="D136" s="481">
        <v>1</v>
      </c>
      <c r="E136" s="483">
        <f t="shared" si="199"/>
        <v>475</v>
      </c>
      <c r="F136" s="484">
        <f t="shared" si="200"/>
        <v>27075</v>
      </c>
      <c r="G136" s="483">
        <f t="shared" ref="G136:R136" si="202">$E$136*0.024*G$147</f>
        <v>13181.82</v>
      </c>
      <c r="H136" s="483">
        <f t="shared" si="202"/>
        <v>11395.440000000002</v>
      </c>
      <c r="I136" s="483">
        <f t="shared" si="202"/>
        <v>10036.56</v>
      </c>
      <c r="J136" s="483">
        <f t="shared" si="202"/>
        <v>6087.6</v>
      </c>
      <c r="K136" s="483">
        <f t="shared" si="202"/>
        <v>456.57000000000005</v>
      </c>
      <c r="L136" s="483">
        <f t="shared" si="202"/>
        <v>0</v>
      </c>
      <c r="M136" s="483">
        <f t="shared" si="202"/>
        <v>0</v>
      </c>
      <c r="N136" s="483">
        <f t="shared" si="202"/>
        <v>0</v>
      </c>
      <c r="O136" s="483">
        <f t="shared" si="202"/>
        <v>502.74</v>
      </c>
      <c r="P136" s="483">
        <f t="shared" si="202"/>
        <v>6184.5</v>
      </c>
      <c r="Q136" s="483">
        <f t="shared" si="202"/>
        <v>9370.8000000000011</v>
      </c>
      <c r="R136" s="483">
        <f t="shared" si="202"/>
        <v>12192.300000000001</v>
      </c>
      <c r="S136" s="74"/>
      <c r="T136" s="74"/>
      <c r="U136" s="74"/>
      <c r="V136" s="74"/>
      <c r="W136" s="74"/>
      <c r="X136" s="74"/>
      <c r="Y136" s="74"/>
      <c r="Z136" s="74"/>
      <c r="AA136" s="74"/>
      <c r="AB136" s="74"/>
      <c r="AC136" s="74"/>
      <c r="AD136" s="74"/>
      <c r="AE136" s="74"/>
      <c r="AF136" s="74"/>
      <c r="AG136" s="74"/>
      <c r="AH136" s="74"/>
    </row>
    <row r="137" spans="1:67" x14ac:dyDescent="0.25">
      <c r="A137" s="480" t="s">
        <v>1588</v>
      </c>
      <c r="B137" s="483">
        <f>'Ввод исходных данных'!G59</f>
        <v>190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475</v>
      </c>
      <c r="F137" s="484">
        <f t="shared" si="200"/>
        <v>27075</v>
      </c>
      <c r="G137" s="483">
        <f>$E$137*0.024*G$147</f>
        <v>13181.82</v>
      </c>
      <c r="H137" s="483">
        <f t="shared" ref="H137:R137" si="204">$E$137*0.024*H$147</f>
        <v>11395.440000000002</v>
      </c>
      <c r="I137" s="483">
        <f t="shared" si="204"/>
        <v>10036.56</v>
      </c>
      <c r="J137" s="483">
        <f t="shared" si="204"/>
        <v>6087.6</v>
      </c>
      <c r="K137" s="483">
        <f t="shared" si="204"/>
        <v>456.57000000000005</v>
      </c>
      <c r="L137" s="483">
        <f t="shared" si="204"/>
        <v>0</v>
      </c>
      <c r="M137" s="483">
        <f t="shared" si="204"/>
        <v>0</v>
      </c>
      <c r="N137" s="483">
        <f t="shared" si="204"/>
        <v>0</v>
      </c>
      <c r="O137" s="483">
        <f t="shared" si="204"/>
        <v>502.74</v>
      </c>
      <c r="P137" s="483">
        <f t="shared" si="204"/>
        <v>6184.5</v>
      </c>
      <c r="Q137" s="483">
        <f t="shared" si="204"/>
        <v>9370.8000000000011</v>
      </c>
      <c r="R137" s="483">
        <f t="shared" si="204"/>
        <v>12192.300000000001</v>
      </c>
      <c r="S137" s="74"/>
      <c r="T137" s="74"/>
      <c r="U137" s="74"/>
      <c r="V137" s="74"/>
      <c r="W137" s="74"/>
      <c r="X137" s="74"/>
      <c r="Y137" s="74"/>
      <c r="Z137" s="74"/>
      <c r="AA137" s="74"/>
      <c r="AB137" s="74"/>
      <c r="AC137" s="74"/>
      <c r="AD137" s="74"/>
      <c r="AE137" s="74"/>
      <c r="AF137" s="74"/>
      <c r="AG137" s="74"/>
      <c r="AH137" s="74"/>
    </row>
    <row r="138" spans="1:67" x14ac:dyDescent="0.25">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6.3050500000000005</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25">
      <c r="A139" s="480" t="s">
        <v>1330</v>
      </c>
      <c r="B139" s="483">
        <f>'Ввод исходных данных'!G62</f>
        <v>4399.2</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5.6945449999999997</v>
      </c>
      <c r="D139" s="914">
        <f>(20-'Расчет базового уровня'!$D$159)/(20-'Расчет базового уровня'!$D$145)</f>
        <v>7.0175438596491224E-2</v>
      </c>
      <c r="E139" s="483">
        <f>IF(C139=0,0,B139/C139*D139)</f>
        <v>54.212547178691921</v>
      </c>
      <c r="F139" s="484">
        <f t="shared" si="200"/>
        <v>3090.1151891854397</v>
      </c>
      <c r="G139" s="483">
        <f t="shared" ref="G139:R140" si="206">$E$139*0.024*G$147</f>
        <v>1504.4632392653152</v>
      </c>
      <c r="H139" s="483">
        <f t="shared" si="206"/>
        <v>1300.5806918356909</v>
      </c>
      <c r="I139" s="483">
        <f t="shared" si="206"/>
        <v>1145.4894368668888</v>
      </c>
      <c r="J139" s="483">
        <f t="shared" si="206"/>
        <v>694.78800464211565</v>
      </c>
      <c r="K139" s="483">
        <f t="shared" si="206"/>
        <v>52.109100348158684</v>
      </c>
      <c r="L139" s="483">
        <f t="shared" si="206"/>
        <v>0</v>
      </c>
      <c r="M139" s="483">
        <f t="shared" si="206"/>
        <v>0</v>
      </c>
      <c r="N139" s="483">
        <f t="shared" si="206"/>
        <v>0</v>
      </c>
      <c r="O139" s="483">
        <f t="shared" si="206"/>
        <v>57.378559933927534</v>
      </c>
      <c r="P139" s="483">
        <f t="shared" si="206"/>
        <v>705.84736426656877</v>
      </c>
      <c r="Q139" s="483">
        <f t="shared" si="206"/>
        <v>1069.5051307412343</v>
      </c>
      <c r="R139" s="483">
        <f t="shared" si="206"/>
        <v>1391.5276609826642</v>
      </c>
      <c r="S139" s="74"/>
      <c r="T139" s="74"/>
      <c r="U139" s="74"/>
      <c r="V139" s="74"/>
      <c r="W139" s="74"/>
      <c r="X139" s="74"/>
      <c r="Y139" s="74"/>
      <c r="Z139" s="74"/>
      <c r="AA139" s="74"/>
      <c r="AB139" s="74"/>
      <c r="AC139" s="74"/>
      <c r="AD139" s="74"/>
      <c r="AE139" s="74"/>
      <c r="AF139" s="74"/>
      <c r="AG139" s="74"/>
      <c r="AH139" s="74"/>
    </row>
    <row r="140" spans="1:67" x14ac:dyDescent="0.25">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5.6945449999999997</v>
      </c>
      <c r="D140" s="481">
        <v>0.9</v>
      </c>
      <c r="E140" s="483">
        <f>IF(C140=0,0,B140/C140*D140)</f>
        <v>0</v>
      </c>
      <c r="F140" s="484">
        <f t="shared" si="200"/>
        <v>0</v>
      </c>
      <c r="G140" s="483">
        <f t="shared" si="206"/>
        <v>1504.4632392653152</v>
      </c>
      <c r="H140" s="483">
        <f t="shared" si="206"/>
        <v>1300.5806918356909</v>
      </c>
      <c r="I140" s="483">
        <f t="shared" si="206"/>
        <v>1145.4894368668888</v>
      </c>
      <c r="J140" s="483">
        <f t="shared" si="206"/>
        <v>694.78800464211565</v>
      </c>
      <c r="K140" s="483">
        <f t="shared" si="206"/>
        <v>52.109100348158684</v>
      </c>
      <c r="L140" s="483">
        <f t="shared" si="206"/>
        <v>0</v>
      </c>
      <c r="M140" s="483">
        <f t="shared" si="206"/>
        <v>0</v>
      </c>
      <c r="N140" s="483">
        <f t="shared" si="206"/>
        <v>0</v>
      </c>
      <c r="O140" s="483">
        <f t="shared" si="206"/>
        <v>57.378559933927534</v>
      </c>
      <c r="P140" s="483">
        <f t="shared" si="206"/>
        <v>705.84736426656877</v>
      </c>
      <c r="Q140" s="483">
        <f t="shared" si="206"/>
        <v>1069.5051307412343</v>
      </c>
      <c r="R140" s="483">
        <f t="shared" si="206"/>
        <v>1391.5276609826642</v>
      </c>
      <c r="S140" s="74"/>
      <c r="T140" s="74"/>
      <c r="U140" s="74"/>
      <c r="V140" s="74"/>
      <c r="W140" s="74"/>
      <c r="X140" s="74"/>
      <c r="Y140" s="74"/>
      <c r="Z140" s="74"/>
      <c r="AA140" s="74"/>
      <c r="AB140" s="74"/>
      <c r="AC140" s="74"/>
      <c r="AD140" s="74"/>
      <c r="AE140" s="74"/>
      <c r="AF140" s="74"/>
      <c r="AG140" s="74"/>
      <c r="AH140" s="74"/>
    </row>
    <row r="141" spans="1:67" x14ac:dyDescent="0.25">
      <c r="A141" s="480" t="s">
        <v>1332</v>
      </c>
      <c r="B141" s="483">
        <f>'Ввод исходных данных'!G64</f>
        <v>0</v>
      </c>
      <c r="C141" s="482">
        <f>IF('Ввод исходных данных'!D75=0,'Серии теплотехника'!B51+IF(списки!D37=1,1,0),'Ввод исходных данных'!D75)</f>
        <v>2.0919540229885056</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25">
      <c r="A142" s="480" t="s">
        <v>1328</v>
      </c>
      <c r="B142" s="483">
        <f>'Ввод исходных данных'!G63</f>
        <v>4399</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5.6945449999999997</v>
      </c>
      <c r="D142" s="486">
        <f>('Ввод исходных данных'!D83-'Расчет базового уровня'!$D$160)/('Ввод исходных данных'!D83-'Расчет базового уровня'!$D$145)</f>
        <v>0.31578947368421051</v>
      </c>
      <c r="E142" s="483">
        <f>IF(C142=0,0,B142/C142*D142)</f>
        <v>243.94537135747319</v>
      </c>
      <c r="F142" s="484">
        <f t="shared" si="200"/>
        <v>13904.886167375971</v>
      </c>
      <c r="G142" s="483">
        <f>$E$142*0.024*G$147</f>
        <v>6769.7767896155092</v>
      </c>
      <c r="H142" s="483">
        <f>$E$142*0.024*H$147</f>
        <v>5852.3470370143259</v>
      </c>
      <c r="I142" s="483">
        <f t="shared" ref="I142:R142" si="208">$E$142*0.024*I$147</f>
        <v>5154.4681186348653</v>
      </c>
      <c r="J142" s="483">
        <f t="shared" si="208"/>
        <v>3126.4038793173763</v>
      </c>
      <c r="K142" s="483">
        <f t="shared" si="208"/>
        <v>234.48029094880326</v>
      </c>
      <c r="L142" s="483">
        <f t="shared" si="208"/>
        <v>0</v>
      </c>
      <c r="M142" s="483">
        <f t="shared" si="208"/>
        <v>0</v>
      </c>
      <c r="N142" s="483">
        <f t="shared" si="208"/>
        <v>0</v>
      </c>
      <c r="O142" s="483">
        <f t="shared" si="208"/>
        <v>258.19178104474963</v>
      </c>
      <c r="P142" s="483">
        <f t="shared" si="208"/>
        <v>3176.1687350743009</v>
      </c>
      <c r="Q142" s="483">
        <f t="shared" si="208"/>
        <v>4812.5542861402309</v>
      </c>
      <c r="R142" s="483">
        <f t="shared" si="208"/>
        <v>6261.5897920036214</v>
      </c>
      <c r="S142" s="74"/>
      <c r="T142" s="74"/>
      <c r="U142" s="74"/>
      <c r="V142" s="74"/>
      <c r="W142" s="74"/>
      <c r="X142" s="74"/>
      <c r="Y142" s="74"/>
      <c r="Z142" s="74"/>
      <c r="AA142" s="74"/>
      <c r="AB142" s="74"/>
      <c r="AC142" s="74"/>
      <c r="AD142" s="74"/>
      <c r="AE142" s="74"/>
      <c r="AF142" s="74"/>
      <c r="AG142" s="74"/>
      <c r="AH142" s="74"/>
    </row>
    <row r="143" spans="1:67" x14ac:dyDescent="0.25">
      <c r="A143" s="480" t="s">
        <v>1231</v>
      </c>
      <c r="B143" s="483">
        <f>'Ввод исходных данных'!G66</f>
        <v>56</v>
      </c>
      <c r="C143" s="916">
        <f>IF('Ввод исходных данных'!D76=0,IF(списки!D35=0,0.5,0.95),'Ввод исходных данных'!D76)</f>
        <v>0.95</v>
      </c>
      <c r="D143" s="486">
        <v>1</v>
      </c>
      <c r="E143" s="483">
        <f>IF(C143=0,0,B143/C143*D143)</f>
        <v>58.947368421052637</v>
      </c>
      <c r="F143" s="484">
        <f t="shared" si="200"/>
        <v>3360.0000000000005</v>
      </c>
      <c r="G143" s="483">
        <f>$E$143*0.024*G$147</f>
        <v>1635.8602105263158</v>
      </c>
      <c r="H143" s="483">
        <f t="shared" ref="H143:R143" si="209">$E$143*0.024*H$147</f>
        <v>1414.1709473684214</v>
      </c>
      <c r="I143" s="483">
        <f t="shared" si="209"/>
        <v>1245.5343157894738</v>
      </c>
      <c r="J143" s="483">
        <f t="shared" si="209"/>
        <v>755.46947368421058</v>
      </c>
      <c r="K143" s="483">
        <f t="shared" si="209"/>
        <v>56.660210526315801</v>
      </c>
      <c r="L143" s="483">
        <f t="shared" si="209"/>
        <v>0</v>
      </c>
      <c r="M143" s="483">
        <f t="shared" si="209"/>
        <v>0</v>
      </c>
      <c r="N143" s="483">
        <f t="shared" si="209"/>
        <v>0</v>
      </c>
      <c r="O143" s="483">
        <f t="shared" si="209"/>
        <v>62.389894736842116</v>
      </c>
      <c r="P143" s="483">
        <f t="shared" si="209"/>
        <v>767.49473684210534</v>
      </c>
      <c r="Q143" s="483">
        <f t="shared" si="209"/>
        <v>1162.9136842105265</v>
      </c>
      <c r="R143" s="483">
        <f t="shared" si="209"/>
        <v>1513.0610526315791</v>
      </c>
      <c r="S143" s="74"/>
      <c r="T143" s="74"/>
      <c r="U143" s="74"/>
      <c r="V143" s="74"/>
      <c r="W143" s="74"/>
      <c r="X143" s="74"/>
      <c r="Y143" s="74"/>
      <c r="Z143" s="74"/>
      <c r="AA143" s="74"/>
      <c r="AB143" s="74"/>
      <c r="AC143" s="74"/>
      <c r="AD143" s="74"/>
      <c r="AE143" s="74"/>
      <c r="AF143" s="74"/>
      <c r="AG143" s="74"/>
      <c r="AH143" s="74"/>
    </row>
    <row r="144" spans="1:67" x14ac:dyDescent="0.25">
      <c r="A144" s="480" t="s">
        <v>515</v>
      </c>
      <c r="B144" s="483">
        <f>SUM(B134:B141)</f>
        <v>18843.2</v>
      </c>
      <c r="C144" s="916"/>
      <c r="D144" s="481"/>
      <c r="E144" s="483">
        <f>SUM(E134:E143)</f>
        <v>7740.4318647877662</v>
      </c>
      <c r="F144" s="484">
        <f>E144*(20-$D$145)/1000</f>
        <v>441.2046162929027</v>
      </c>
      <c r="G144" s="483">
        <f>SUM(G134:G143)</f>
        <v>216310.73600536361</v>
      </c>
      <c r="H144" s="483">
        <f t="shared" ref="H144:R144" si="210">SUM(H134:H143)</f>
        <v>186996.63730084017</v>
      </c>
      <c r="I144" s="483">
        <f t="shared" si="210"/>
        <v>164697.71856708647</v>
      </c>
      <c r="J144" s="483">
        <f t="shared" si="210"/>
        <v>99896.162783762164</v>
      </c>
      <c r="K144" s="483">
        <f t="shared" si="210"/>
        <v>7492.2122087821599</v>
      </c>
      <c r="L144" s="483">
        <f t="shared" si="210"/>
        <v>0</v>
      </c>
      <c r="M144" s="483">
        <f t="shared" si="210"/>
        <v>0</v>
      </c>
      <c r="N144" s="483">
        <f t="shared" si="210"/>
        <v>0</v>
      </c>
      <c r="O144" s="483">
        <f t="shared" si="210"/>
        <v>8249.8516456252983</v>
      </c>
      <c r="P144" s="483">
        <f t="shared" si="210"/>
        <v>101486.27024380327</v>
      </c>
      <c r="Q144" s="483">
        <f t="shared" si="210"/>
        <v>153772.74495927425</v>
      </c>
      <c r="R144" s="483">
        <f t="shared" si="210"/>
        <v>200072.93276635502</v>
      </c>
      <c r="S144" s="74"/>
      <c r="T144" s="74"/>
      <c r="U144" s="74"/>
      <c r="V144" s="74"/>
      <c r="W144" s="74"/>
      <c r="X144" s="74"/>
      <c r="Y144" s="74"/>
      <c r="Z144" s="74"/>
      <c r="AA144" s="74"/>
      <c r="AB144" s="74"/>
      <c r="AC144" s="74"/>
      <c r="AD144" s="74"/>
      <c r="AE144" s="74"/>
      <c r="AF144" s="74"/>
      <c r="AG144" s="74"/>
      <c r="AH144" s="74"/>
    </row>
    <row r="145" spans="1:34" x14ac:dyDescent="0.25">
      <c r="A145" s="74"/>
      <c r="B145" s="488" t="s">
        <v>742</v>
      </c>
      <c r="C145" s="489" t="s">
        <v>747</v>
      </c>
      <c r="D145" s="481">
        <f>VLOOKUP(CONCATENATE('Ввод исходных данных'!$D$10,'Ввод исходных данных'!$D$11),Климатология!$D$9:$BF$548,4,0)</f>
        <v>-37</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88" t="s">
        <v>529</v>
      </c>
      <c r="C146" s="489" t="s">
        <v>748</v>
      </c>
      <c r="D146" s="481">
        <f>VLOOKUP(CONCATENATE('Ввод исходных данных'!$D$10,'Ввод исходных данных'!$D$11),Климатология!$D$9:$BF$548,2,0)</f>
        <v>221</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4.5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4.5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25">
      <c r="A147" s="74"/>
      <c r="B147" s="488" t="s">
        <v>462</v>
      </c>
      <c r="C147" s="489" t="s">
        <v>749</v>
      </c>
      <c r="D147" s="481">
        <f>VLOOKUP(CONCATENATE('Ввод исходных данных'!$D$10,'Ввод исходных данных'!$D$11),Климатология!$D$9:$BF$548,6,0)</f>
        <v>6210.1</v>
      </c>
      <c r="E147" s="74"/>
      <c r="F147" s="317"/>
      <c r="G147" s="490">
        <f>VLOOKUP(CONCATENATE('Ввод исходных данных'!$D$10,'Ввод исходных данных'!$D$11),Климатология!$D$9:$BF$548,G130+3,0)</f>
        <v>1156.3</v>
      </c>
      <c r="H147" s="490">
        <f>VLOOKUP(CONCATENATE('Ввод исходных данных'!$D$10,'Ввод исходных данных'!$D$11),Климатология!$D$9:$BF$548,H130+3,0)</f>
        <v>999.60000000000014</v>
      </c>
      <c r="I147" s="490">
        <f>VLOOKUP(CONCATENATE('Ввод исходных данных'!$D$10,'Ввод исходных данных'!$D$11),Климатология!$D$9:$BF$548,I130+3,0)</f>
        <v>880.4</v>
      </c>
      <c r="J147" s="490">
        <f>VLOOKUP(CONCATENATE('Ввод исходных данных'!$D$10,'Ввод исходных данных'!$D$11),Климатология!$D$9:$BF$548,J130+3,0)</f>
        <v>534</v>
      </c>
      <c r="K147" s="490">
        <f>VLOOKUP(CONCATENATE('Ввод исходных данных'!$D$10,'Ввод исходных данных'!$D$11),Климатология!$D$9:$BF$548,K130+3,0)</f>
        <v>40.050000000000004</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44.1</v>
      </c>
      <c r="P147" s="490">
        <f>VLOOKUP(CONCATENATE('Ввод исходных данных'!$D$10,'Ввод исходных данных'!$D$11),Климатология!$D$9:$BF$548,P130+3,0)</f>
        <v>542.5</v>
      </c>
      <c r="Q147" s="490">
        <f>VLOOKUP(CONCATENATE('Ввод исходных данных'!$D$10,'Ввод исходных данных'!$D$11),Климатология!$D$9:$BF$548,Q130+3,0)</f>
        <v>822</v>
      </c>
      <c r="R147" s="490">
        <f>VLOOKUP(CONCATENATE('Ввод исходных данных'!$D$10,'Ввод исходных данных'!$D$11),Климатология!$D$9:$BF$548,R130+3,0)</f>
        <v>1069.5</v>
      </c>
      <c r="S147" s="74"/>
      <c r="T147" s="74"/>
      <c r="U147" s="74"/>
      <c r="V147" s="74"/>
      <c r="W147" s="74"/>
      <c r="X147" s="74"/>
      <c r="Y147" s="74"/>
      <c r="Z147" s="74"/>
      <c r="AA147" s="74"/>
      <c r="AB147" s="74"/>
      <c r="AC147" s="74"/>
      <c r="AD147" s="74"/>
      <c r="AE147" s="74"/>
      <c r="AF147" s="74"/>
      <c r="AG147" s="74"/>
      <c r="AH147" s="74"/>
    </row>
    <row r="148" spans="1:34" x14ac:dyDescent="0.25">
      <c r="A148" s="491" t="s">
        <v>497</v>
      </c>
      <c r="B148" s="492" t="s">
        <v>531</v>
      </c>
      <c r="C148" s="493" t="s">
        <v>498</v>
      </c>
      <c r="D148" s="494">
        <f>IF(D149&gt;45,10,IF(D149&lt;=20,17,17-(D149-20)*7/25))</f>
        <v>10</v>
      </c>
      <c r="E148" s="74"/>
      <c r="F148" s="495">
        <f>17*D150/1000</f>
        <v>194.93729999999999</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25">
      <c r="A149" s="491" t="s">
        <v>499</v>
      </c>
      <c r="B149" s="492" t="s">
        <v>500</v>
      </c>
      <c r="C149" s="493" t="s">
        <v>501</v>
      </c>
      <c r="D149" s="496">
        <f>'Ввод исходных данных'!$G$45/'Ввод исходных данных'!$D$22</f>
        <v>81.581104651162789</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25">
      <c r="A150" s="476" t="s">
        <v>1403</v>
      </c>
      <c r="B150" s="492" t="s">
        <v>1404</v>
      </c>
      <c r="C150" s="497" t="s">
        <v>492</v>
      </c>
      <c r="D150" s="496">
        <f>'Ввод исходных данных'!G46</f>
        <v>11466.9</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498" t="s">
        <v>512</v>
      </c>
      <c r="B151" s="499" t="s">
        <v>522</v>
      </c>
      <c r="C151" s="497" t="s">
        <v>526</v>
      </c>
      <c r="D151" s="500">
        <v>30</v>
      </c>
      <c r="E151" s="74"/>
      <c r="F151" s="495">
        <f>(D151*D152*'Ввод исходных данных'!$D$22*0.28+D189*0.28)*1.006*0.001*(20+25)+E161*(20+25)</f>
        <v>313.03132052555748</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1" t="s">
        <v>527</v>
      </c>
      <c r="B158" s="492" t="s">
        <v>532</v>
      </c>
      <c r="C158" s="489" t="s">
        <v>746</v>
      </c>
      <c r="D158" s="919">
        <f>SUMPRODUCT('Система отопления'!B23:B28,'Система отопления'!C23:C28)</f>
        <v>1.1299999999999999</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391960.86953304464</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2.6298614993655804</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72981.812441194095</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63091.429314380031</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55567.921536994967</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33704.30497586928</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2527.8228731901963</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2783.4454109285307</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34240.796721739862</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51881.907659484175</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67503.28496571572</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3039.0581102474412</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6" t="s">
        <v>905</v>
      </c>
      <c r="B167" s="507" t="s">
        <v>1474</v>
      </c>
      <c r="C167" s="489" t="s">
        <v>906</v>
      </c>
      <c r="D167" s="508">
        <f>D168*365/(D146+D169*(D170-D146))</f>
        <v>97.189349112426029</v>
      </c>
      <c r="E167" s="74"/>
      <c r="F167" s="317">
        <f>SUMPRODUCT(G167:R167,G170:R170)/365</f>
        <v>89.760355029585796</v>
      </c>
      <c r="G167" s="508">
        <f>IF(G146&gt;=0.8*G165,$D$167,$D$169*$D$167)</f>
        <v>97.189349112426029</v>
      </c>
      <c r="H167" s="508">
        <f t="shared" ref="H167:R167" si="211">IF(H146&gt;=0.8*H165,$D$167,$D$169*$D$167)</f>
        <v>97.189349112426029</v>
      </c>
      <c r="I167" s="508">
        <f t="shared" si="211"/>
        <v>97.189349112426029</v>
      </c>
      <c r="J167" s="508">
        <f t="shared" si="211"/>
        <v>97.189349112426029</v>
      </c>
      <c r="K167" s="508">
        <f t="shared" si="211"/>
        <v>87.470414201183431</v>
      </c>
      <c r="L167" s="508">
        <f t="shared" si="211"/>
        <v>87.470414201183431</v>
      </c>
      <c r="M167" s="508">
        <f t="shared" si="211"/>
        <v>87.470414201183431</v>
      </c>
      <c r="N167" s="508">
        <f t="shared" si="211"/>
        <v>87.470414201183431</v>
      </c>
      <c r="O167" s="508">
        <f t="shared" si="211"/>
        <v>87.470414201183431</v>
      </c>
      <c r="P167" s="508">
        <f t="shared" si="211"/>
        <v>97.189349112426029</v>
      </c>
      <c r="Q167" s="508">
        <f t="shared" si="211"/>
        <v>97.189349112426029</v>
      </c>
      <c r="R167" s="508">
        <f t="shared" si="211"/>
        <v>97.189349112426029</v>
      </c>
      <c r="S167" s="74"/>
      <c r="T167" s="74"/>
      <c r="U167" s="74"/>
      <c r="V167" s="74"/>
      <c r="W167" s="74"/>
      <c r="X167" s="74"/>
      <c r="Y167" s="74"/>
      <c r="Z167" s="74"/>
      <c r="AA167" s="74"/>
      <c r="AB167" s="74"/>
      <c r="AC167" s="74"/>
      <c r="AD167" s="74"/>
      <c r="AE167" s="74"/>
    </row>
    <row r="168" spans="1:31" ht="15.75" customHeight="1" x14ac:dyDescent="0.25">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25">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6" t="s">
        <v>908</v>
      </c>
      <c r="B171" s="507" t="s">
        <v>547</v>
      </c>
      <c r="C171" s="489" t="s">
        <v>559</v>
      </c>
      <c r="D171" s="512">
        <f>D167*'Ввод исходных данных'!$D$22/24/1000</f>
        <v>1.3930473372781065</v>
      </c>
      <c r="E171" s="74"/>
      <c r="F171" s="74"/>
      <c r="G171" s="512">
        <f>G167*'Ввод исходных данных'!$D$22/24/1000</f>
        <v>1.3930473372781065</v>
      </c>
      <c r="H171" s="512">
        <f>H167*'Ввод исходных данных'!$D$22/24/1000</f>
        <v>1.3930473372781065</v>
      </c>
      <c r="I171" s="512">
        <f>I167*'Ввод исходных данных'!$D$22/24/1000</f>
        <v>1.3930473372781065</v>
      </c>
      <c r="J171" s="512">
        <f>J167*'Ввод исходных данных'!$D$22/24/1000</f>
        <v>1.3930473372781065</v>
      </c>
      <c r="K171" s="512">
        <f>K167*'Ввод исходных данных'!$D$22/24/1000</f>
        <v>1.2537426035502959</v>
      </c>
      <c r="L171" s="512">
        <f>L167*'Ввод исходных данных'!$D$22/24/1000</f>
        <v>1.2537426035502959</v>
      </c>
      <c r="M171" s="512">
        <f>M167*'Ввод исходных данных'!$D$22/24/1000</f>
        <v>1.2537426035502959</v>
      </c>
      <c r="N171" s="512">
        <f>N167*'Ввод исходных данных'!$D$22/24/1000</f>
        <v>1.2537426035502959</v>
      </c>
      <c r="O171" s="512">
        <f>O167*'Ввод исходных данных'!$D$22/24/1000</f>
        <v>1.2537426035502959</v>
      </c>
      <c r="P171" s="512">
        <f>P167*'Ввод исходных данных'!$D$22/24/1000</f>
        <v>1.3930473372781065</v>
      </c>
      <c r="Q171" s="512">
        <f>Q167*'Ввод исходных данных'!$D$22/24/1000</f>
        <v>1.3930473372781065</v>
      </c>
      <c r="R171" s="512">
        <f>R167*'Ввод исходных данных'!$D$22/24/1000</f>
        <v>1.3930473372781065</v>
      </c>
      <c r="S171" s="74"/>
      <c r="T171" s="74"/>
      <c r="U171" s="74"/>
      <c r="V171" s="74"/>
      <c r="W171" s="74"/>
      <c r="X171" s="74"/>
      <c r="Y171" s="74"/>
      <c r="Z171" s="74"/>
      <c r="AA171" s="74"/>
      <c r="AB171" s="74"/>
      <c r="AC171" s="74"/>
      <c r="AD171" s="74"/>
      <c r="AE171" s="74"/>
    </row>
    <row r="172" spans="1:31" ht="15.75" customHeight="1" x14ac:dyDescent="0.25">
      <c r="A172" s="506" t="s">
        <v>909</v>
      </c>
      <c r="B172" s="507" t="s">
        <v>548</v>
      </c>
      <c r="C172" s="489" t="s">
        <v>559</v>
      </c>
      <c r="D172" s="512">
        <f>D171*'Система электроснабжения'!$C$55</f>
        <v>5.7886857811106394</v>
      </c>
      <c r="E172" s="74">
        <f>D172*(60-5)*4.2/3.6*1.1</f>
        <v>408.58473805005934</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6" t="s">
        <v>910</v>
      </c>
      <c r="B173" s="507" t="s">
        <v>551</v>
      </c>
      <c r="C173" s="489" t="s">
        <v>513</v>
      </c>
      <c r="D173" s="513">
        <f xml:space="preserve"> (D167*(D174-D175)*(1+D176)*1*D177)/(3.6*24*D178)</f>
        <v>16.89002403846154</v>
      </c>
      <c r="E173" s="74">
        <f>E172*0.86/1000</f>
        <v>0.35138287472305102</v>
      </c>
      <c r="F173" s="74"/>
      <c r="G173" s="513">
        <f xml:space="preserve"> (G167*($D$174-IF(G146&gt;=0.8*G165,$D$175,'Ввод исходных данных'!$D$109))*(1+$D$176)*1*$D$177)/(3.6*24*$D$178)</f>
        <v>16.89002403846154</v>
      </c>
      <c r="H173" s="513">
        <f xml:space="preserve"> (H167*($D$174-IF(H146&gt;=0.8*H165,$D$175,'Ввод исходных данных'!$D$109))*(1+$D$176)*1*$D$177)/(3.6*24*$D$178)</f>
        <v>16.89002403846154</v>
      </c>
      <c r="I173" s="513">
        <f xml:space="preserve"> (I167*($D$174-IF(I146&gt;=0.8*I165,$D$175,'Ввод исходных данных'!$D$109))*(1+$D$176)*1*$D$177)/(3.6*24*$D$178)</f>
        <v>16.89002403846154</v>
      </c>
      <c r="J173" s="513">
        <f xml:space="preserve"> (J167*($D$174-IF(J146&gt;=0.8*J165,$D$175,'Ввод исходных данных'!$D$109))*(1+$D$176)*1*$D$177)/(3.6*24*$D$178)</f>
        <v>16.89002403846154</v>
      </c>
      <c r="K173" s="513">
        <f xml:space="preserve"> (K167*($D$174-IF(K146&gt;=0.8*K165,$D$175,'Ввод исходных данных'!$D$109))*(1+$D$176)*1*$D$177)/(3.6*24*$D$178)</f>
        <v>12.437199519230772</v>
      </c>
      <c r="L173" s="513">
        <f xml:space="preserve"> (L167*($D$174-IF(L146&gt;=0.8*L165,$D$175,'Ввод исходных данных'!$D$109))*(1+$D$176)*1*$D$177)/(3.6*24*$D$178)</f>
        <v>12.437199519230772</v>
      </c>
      <c r="M173" s="513">
        <f xml:space="preserve"> (M167*($D$174-IF(M146&gt;=0.8*M165,$D$175,'Ввод исходных данных'!$D$109))*(1+$D$176)*1*$D$177)/(3.6*24*$D$178)</f>
        <v>12.437199519230772</v>
      </c>
      <c r="N173" s="513">
        <f xml:space="preserve"> (N167*($D$174-IF(N146&gt;=0.8*N165,$D$175,'Ввод исходных данных'!$D$109))*(1+$D$176)*1*$D$177)/(3.6*24*$D$178)</f>
        <v>12.437199519230772</v>
      </c>
      <c r="O173" s="513">
        <f xml:space="preserve"> (O167*($D$174-IF(O146&gt;=0.8*O165,$D$175,'Ввод исходных данных'!$D$109))*(1+$D$176)*1*$D$177)/(3.6*24*$D$178)</f>
        <v>12.437199519230772</v>
      </c>
      <c r="P173" s="513">
        <f xml:space="preserve"> (P167*($D$174-IF(P146&gt;=0.8*P165,$D$175,'Ввод исходных данных'!$D$109))*(1+$D$176)*1*$D$177)/(3.6*24*$D$178)</f>
        <v>16.89002403846154</v>
      </c>
      <c r="Q173" s="513">
        <f xml:space="preserve"> (Q167*($D$174-IF(Q146&gt;=0.8*Q165,$D$175,'Ввод исходных данных'!$D$109))*(1+$D$176)*1*$D$177)/(3.6*24*$D$178)</f>
        <v>16.89002403846154</v>
      </c>
      <c r="R173" s="513">
        <f xml:space="preserve"> (R167*($D$174-IF(R146&gt;=0.8*R165,$D$175,'Ввод исходных данных'!$D$109))*(1+$D$176)*1*$D$177)/(3.6*24*$D$178)</f>
        <v>16.89002403846154</v>
      </c>
      <c r="S173" s="74"/>
      <c r="T173" s="74"/>
      <c r="U173" s="74"/>
      <c r="V173" s="74"/>
      <c r="W173" s="74"/>
      <c r="X173" s="74"/>
      <c r="Y173" s="74"/>
      <c r="Z173" s="74"/>
      <c r="AA173" s="74"/>
      <c r="AB173" s="74"/>
      <c r="AC173" s="74"/>
      <c r="AD173" s="74"/>
      <c r="AE173" s="74"/>
    </row>
    <row r="174" spans="1:31" ht="15.75" customHeight="1" x14ac:dyDescent="0.25">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0.3</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0" t="s">
        <v>914</v>
      </c>
      <c r="B179" s="515" t="s">
        <v>750</v>
      </c>
      <c r="C179" s="489" t="s">
        <v>562</v>
      </c>
      <c r="D179" s="508">
        <f>'Ввод исходных данных'!G45/'Ввод исходных данных'!D22</f>
        <v>81.581104651162789</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0" t="s">
        <v>1572</v>
      </c>
      <c r="B181" s="515" t="s">
        <v>1573</v>
      </c>
      <c r="C181" s="489" t="s">
        <v>1579</v>
      </c>
      <c r="D181" s="508">
        <f>0.28*'Ввод исходных данных'!$G$49*(D183-D184)+0.03*D183*Климатология!$H$2^2</f>
        <v>18.141695395390382</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0" t="s">
        <v>1575</v>
      </c>
      <c r="B182" s="515" t="s">
        <v>1574</v>
      </c>
      <c r="C182" s="489" t="s">
        <v>1579</v>
      </c>
      <c r="D182" s="508">
        <f>0.55*('Ввод исходных данных'!$G$49-1)*(D183-D184)+0.03*D183*Климатология!$H$2^2</f>
        <v>26.591937060414352</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0" t="s">
        <v>1576</v>
      </c>
      <c r="B183" s="515"/>
      <c r="C183" s="489" t="s">
        <v>1580</v>
      </c>
      <c r="D183" s="508">
        <f>3463/(273+Климатология!$F$2)</f>
        <v>13.072857682144207</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0" t="s">
        <v>1571</v>
      </c>
      <c r="B185" s="515"/>
      <c r="C185" s="489" t="s">
        <v>1581</v>
      </c>
      <c r="D185" s="517">
        <f>0.12*(1-'Ввод исходных данных'!$D$34/'Ввод исходных данных'!$G$55)+0.86*'Ввод исходных данных'!$D$34/'Ввод исходных данных'!$G$55</f>
        <v>0.12</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0" t="s">
        <v>1570</v>
      </c>
      <c r="B186" s="515"/>
      <c r="C186" s="489" t="s">
        <v>1581</v>
      </c>
      <c r="D186" s="517">
        <f>IF(списки!$D$35=0,0.14,0.16)</f>
        <v>0.16</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0" t="s">
        <v>1569</v>
      </c>
      <c r="B187" s="515"/>
      <c r="C187" s="489" t="s">
        <v>1582</v>
      </c>
      <c r="D187" s="508">
        <f>(B136/D185)*(D181/10)^(2/3)</f>
        <v>2355.1808896284724</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0" t="s">
        <v>1568</v>
      </c>
      <c r="B188" s="515"/>
      <c r="C188" s="489" t="s">
        <v>1582</v>
      </c>
      <c r="D188" s="508">
        <f>(B143/D186)*(D182/10)^(1/2)</f>
        <v>570.74620365804958</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0" t="s">
        <v>1567</v>
      </c>
      <c r="B189" s="515"/>
      <c r="C189" s="489" t="s">
        <v>1582</v>
      </c>
      <c r="D189" s="508">
        <f>D187+D188</f>
        <v>2925.927093286522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0" t="s">
        <v>1566</v>
      </c>
      <c r="B190" s="515"/>
      <c r="C190" s="489" t="s">
        <v>496</v>
      </c>
      <c r="D190" s="508">
        <f>0.024*$D$187*'Расчет базового уровня'!$D$147*0.28</f>
        <v>98286.107422821544</v>
      </c>
      <c r="E190" s="74"/>
      <c r="F190" s="74"/>
      <c r="G190" s="508">
        <f>0.024*$D$187*'Расчет базового уровня'!G$147*0.28</f>
        <v>18300.546853192147</v>
      </c>
      <c r="H190" s="508">
        <f>0.024*$D$187*'Расчет базового уровня'!H$147*0.28</f>
        <v>15820.484852072017</v>
      </c>
      <c r="I190" s="508">
        <f>0.024*$D$187*'Расчет базового уровня'!I$147*0.28</f>
        <v>13933.928435138256</v>
      </c>
      <c r="J190" s="508">
        <f>0.024*$D$187*'Расчет базового уровня'!J$147*0.28</f>
        <v>8451.5195188139805</v>
      </c>
      <c r="K190" s="508">
        <f>0.024*$D$187*'Расчет базового уровня'!K$147*0.28</f>
        <v>633.8639639110487</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697.96256700317713</v>
      </c>
      <c r="P190" s="508">
        <f>0.024*$D$187*'Расчет базового уровня'!P$147*0.28</f>
        <v>8586.0474512295586</v>
      </c>
      <c r="Q190" s="508">
        <f>0.024*$D$187*'Расчет базового уровня'!Q$147*0.28</f>
        <v>13009.642405365341</v>
      </c>
      <c r="R190" s="508">
        <f>0.024*$D$187*'Расчет базового уровня'!R$147*0.28</f>
        <v>16926.779260995416</v>
      </c>
      <c r="S190" s="74"/>
      <c r="T190" s="74"/>
      <c r="U190" s="74"/>
      <c r="V190" s="74"/>
      <c r="W190" s="74"/>
      <c r="X190" s="74"/>
      <c r="Y190" s="74"/>
      <c r="Z190" s="74"/>
      <c r="AA190" s="74"/>
      <c r="AB190" s="74"/>
      <c r="AC190" s="74"/>
      <c r="AD190" s="74"/>
      <c r="AE190" s="74"/>
    </row>
    <row r="191" spans="1:32" x14ac:dyDescent="0.25">
      <c r="A191" s="510" t="s">
        <v>1565</v>
      </c>
      <c r="B191" s="515"/>
      <c r="C191" s="489" t="s">
        <v>496</v>
      </c>
      <c r="D191" s="508">
        <f>0.024*$D$188*'Расчет базового уровня'!$D$147*0.28</f>
        <v>23818.30751554366</v>
      </c>
      <c r="E191" s="74"/>
      <c r="F191" s="74"/>
      <c r="G191" s="508">
        <f>0.024*$D$188*'Расчет базового уровня'!G$147*0.28</f>
        <v>4434.8897731474744</v>
      </c>
      <c r="H191" s="508">
        <f>0.024*$D$188*'Расчет базового уровня'!H$147*0.28</f>
        <v>3833.8803227866611</v>
      </c>
      <c r="I191" s="508">
        <f>0.024*$D$188*'Расчет базового уровня'!I$147*0.28</f>
        <v>3376.6989157476751</v>
      </c>
      <c r="J191" s="508">
        <f>0.024*$D$188*'Расчет базового уровня'!J$147*0.28</f>
        <v>2048.111336902838</v>
      </c>
      <c r="K191" s="508">
        <f>0.024*$D$188*'Расчет базового уровня'!K$147*0.28</f>
        <v>153.60835026771284</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169.14177894647034</v>
      </c>
      <c r="P191" s="508">
        <f>0.024*$D$188*'Расчет базового уровня'!P$147*0.28</f>
        <v>2080.7123600557857</v>
      </c>
      <c r="Q191" s="508">
        <f>0.024*$D$188*'Расчет базового уровня'!Q$147*0.28</f>
        <v>3152.7107096144809</v>
      </c>
      <c r="R191" s="508">
        <f>0.024*$D$188*'Расчет базового уровня'!R$147*0.28</f>
        <v>4101.9757955385494</v>
      </c>
      <c r="S191" s="74"/>
      <c r="T191" s="74"/>
      <c r="U191" s="74"/>
      <c r="V191" s="74"/>
      <c r="W191" s="74"/>
      <c r="X191" s="74"/>
      <c r="Y191" s="74"/>
      <c r="Z191" s="74"/>
      <c r="AA191" s="74"/>
      <c r="AB191" s="74"/>
      <c r="AC191" s="74"/>
      <c r="AD191" s="74"/>
      <c r="AE191" s="74"/>
    </row>
    <row r="192" spans="1:32" x14ac:dyDescent="0.25">
      <c r="A192" s="510" t="s">
        <v>1564</v>
      </c>
      <c r="B192" s="515"/>
      <c r="C192" s="489" t="s">
        <v>496</v>
      </c>
      <c r="D192" s="508">
        <f>0.024*$D$189*'Расчет базового уровня'!$D$147*0.28</f>
        <v>122104.41493836521</v>
      </c>
      <c r="E192" s="74"/>
      <c r="F192" s="74"/>
      <c r="G192" s="508">
        <f>0.024*$D$189*'Расчет базового уровня'!G$147*0.28</f>
        <v>22735.436626339622</v>
      </c>
      <c r="H192" s="508">
        <f>0.024*$D$189*'Расчет базового уровня'!H$147*0.28</f>
        <v>19654.365174858678</v>
      </c>
      <c r="I192" s="508">
        <f>0.024*$D$189*'Расчет базового уровня'!I$147*0.28</f>
        <v>17310.627350885934</v>
      </c>
      <c r="J192" s="508">
        <f>0.024*$D$189*'Расчет базового уровня'!J$147*0.28</f>
        <v>10499.630855716819</v>
      </c>
      <c r="K192" s="508">
        <f>0.024*$D$189*'Расчет базового уровня'!K$147*0.28</f>
        <v>787.47231417876151</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867.1043459496475</v>
      </c>
      <c r="P192" s="508">
        <f>0.024*$D$189*'Расчет базового уровня'!P$147*0.28</f>
        <v>10666.759811285347</v>
      </c>
      <c r="Q192" s="508">
        <f>0.024*$D$189*'Расчет базового уровня'!Q$147*0.28</f>
        <v>16162.353114979822</v>
      </c>
      <c r="R192" s="508">
        <f>0.024*$D$189*'Расчет базового уровня'!R$147*0.28</f>
        <v>21028.755056533966</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Qxl6639Trj0xkARY96xM8i6jLmLmAmhxFLL2CbFis7aV7uMJ2Gq3ieh0IQBta3X45nrKllaUKmRLcZxHwq4v0w==" saltValue="EP68Ky6QQU3ayG03YbTI4g=="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88" t="s">
        <v>1172</v>
      </c>
      <c r="B3" s="1788"/>
      <c r="C3" s="1788"/>
      <c r="D3" s="1788"/>
      <c r="E3" s="1788"/>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25">
      <c r="A4" s="1792" t="s">
        <v>834</v>
      </c>
      <c r="B4" s="1778" t="s">
        <v>1174</v>
      </c>
      <c r="C4" s="1774" t="s">
        <v>1338</v>
      </c>
      <c r="D4" s="1794" t="s">
        <v>1337</v>
      </c>
      <c r="E4" s="74"/>
      <c r="F4" s="74"/>
      <c r="G4" s="1812"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5" customHeight="1" x14ac:dyDescent="0.25">
      <c r="A5" s="1808"/>
      <c r="B5" s="1809"/>
      <c r="C5" s="1811"/>
      <c r="D5" s="1810"/>
      <c r="E5" s="74"/>
      <c r="F5" s="74"/>
      <c r="G5" s="1813"/>
      <c r="H5" s="1814"/>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25">
      <c r="A6" s="303" t="s">
        <v>1178</v>
      </c>
      <c r="B6" s="304" t="s">
        <v>842</v>
      </c>
      <c r="C6" s="305">
        <f>'Расчет базового уровня'!D6</f>
        <v>4257958.4680000003</v>
      </c>
      <c r="D6" s="305">
        <f>D12+D15+D18</f>
        <v>3092465.8825975591</v>
      </c>
      <c r="E6" s="74"/>
      <c r="F6" s="74"/>
      <c r="G6" s="303" t="s">
        <v>1178</v>
      </c>
      <c r="H6" s="304" t="s">
        <v>842</v>
      </c>
      <c r="I6" s="306">
        <f>'Расчет базового уровня'!J6</f>
        <v>643011.98100000003</v>
      </c>
      <c r="J6" s="306">
        <f>J12+J15+J18</f>
        <v>488534.96076586383</v>
      </c>
      <c r="K6" s="306">
        <f>'Расчет базового уровня'!M6</f>
        <v>730548.51199999999</v>
      </c>
      <c r="L6" s="306">
        <f>L12+L15+L18</f>
        <v>466326.54957705067</v>
      </c>
      <c r="M6" s="306">
        <f>'Расчет базового уровня'!P6</f>
        <v>436204.54600000003</v>
      </c>
      <c r="N6" s="306">
        <f>N12+N15+N18</f>
        <v>394507.44425122673</v>
      </c>
      <c r="O6" s="306">
        <f>'Расчет базового уровня'!S6</f>
        <v>413356.71500000003</v>
      </c>
      <c r="P6" s="306">
        <f>P12+P15+P18</f>
        <v>200349.2036128171</v>
      </c>
      <c r="Q6" s="306">
        <f>'Расчет базового уровня'!V6</f>
        <v>217108.73200000002</v>
      </c>
      <c r="R6" s="306">
        <f>R12+R15+R18</f>
        <v>81358.933445175309</v>
      </c>
      <c r="S6" s="306">
        <f>'Расчет базового уровня'!Y6</f>
        <v>47332.811000000002</v>
      </c>
      <c r="T6" s="306">
        <f>T12+T15+T18</f>
        <v>48660.167130502654</v>
      </c>
      <c r="U6" s="306">
        <f>'Расчет базового уровня'!AB6</f>
        <v>60613</v>
      </c>
      <c r="V6" s="306">
        <f>V12+V15+V18</f>
        <v>60965.956130502658</v>
      </c>
      <c r="W6" s="306">
        <f>'Расчет базового уровня'!AE6</f>
        <v>44531</v>
      </c>
      <c r="X6" s="306">
        <f>X12+X15+X18</f>
        <v>45087.156130502648</v>
      </c>
      <c r="Y6" s="306">
        <f>'Расчет базового уровня'!AH6</f>
        <v>64002</v>
      </c>
      <c r="Z6" s="306">
        <f>Z12+Z15+Z18</f>
        <v>64829.356130502652</v>
      </c>
      <c r="AA6" s="306">
        <f>'Расчет базового уровня'!AK6</f>
        <v>353669.283</v>
      </c>
      <c r="AB6" s="306">
        <f>AB12+AB15+AB18</f>
        <v>305775.44917809073</v>
      </c>
      <c r="AC6" s="306">
        <f>'Расчет базового уровня'!AN6</f>
        <v>625818.20700000005</v>
      </c>
      <c r="AD6" s="306">
        <f>AD12+AD15+AD18</f>
        <v>475221.36754532426</v>
      </c>
      <c r="AE6" s="306">
        <f>'Расчет базового уровня'!AQ6</f>
        <v>621761.6810000001</v>
      </c>
      <c r="AF6" s="306">
        <f>AF12+AF15+AF18</f>
        <v>464400.49609739764</v>
      </c>
      <c r="AG6" s="74"/>
      <c r="AH6" s="74"/>
      <c r="AI6" s="74"/>
      <c r="AJ6" s="74"/>
      <c r="AK6" s="74"/>
      <c r="AL6" s="74"/>
      <c r="AM6" s="74"/>
      <c r="AN6" s="74"/>
      <c r="AO6" s="74"/>
      <c r="AP6" s="74"/>
      <c r="AQ6" s="74"/>
      <c r="AR6" s="74"/>
      <c r="AS6" s="74"/>
      <c r="AT6" s="74"/>
      <c r="AU6" s="74"/>
    </row>
    <row r="7" spans="1:47" ht="19.5" customHeight="1" x14ac:dyDescent="0.25">
      <c r="A7" s="307" t="s">
        <v>1339</v>
      </c>
      <c r="B7" s="304" t="s">
        <v>842</v>
      </c>
      <c r="C7" s="308"/>
      <c r="D7" s="308">
        <f>C6-D6</f>
        <v>1165492.5854024412</v>
      </c>
      <c r="E7" s="74"/>
      <c r="F7" s="74"/>
      <c r="G7" s="307" t="s">
        <v>1339</v>
      </c>
      <c r="H7" s="304" t="s">
        <v>842</v>
      </c>
      <c r="I7" s="308"/>
      <c r="J7" s="308">
        <f>I6-J6</f>
        <v>154477.0202341362</v>
      </c>
      <c r="K7" s="308"/>
      <c r="L7" s="308">
        <f>K6-L6</f>
        <v>264221.96242294932</v>
      </c>
      <c r="M7" s="308"/>
      <c r="N7" s="308">
        <f>M6-N6</f>
        <v>41697.101748773304</v>
      </c>
      <c r="O7" s="308"/>
      <c r="P7" s="308">
        <f>O6-P6</f>
        <v>213007.51138718292</v>
      </c>
      <c r="Q7" s="308"/>
      <c r="R7" s="308">
        <f>Q6-R6</f>
        <v>135749.79855482472</v>
      </c>
      <c r="S7" s="308"/>
      <c r="T7" s="308">
        <f>S6-T6</f>
        <v>-1327.3561305026524</v>
      </c>
      <c r="U7" s="308"/>
      <c r="V7" s="308">
        <f>U6-V6</f>
        <v>-352.9561305026582</v>
      </c>
      <c r="W7" s="308"/>
      <c r="X7" s="308">
        <f>W6-X6</f>
        <v>-556.15613050264801</v>
      </c>
      <c r="Y7" s="308"/>
      <c r="Z7" s="308">
        <f>Y6-Z6</f>
        <v>-827.35613050265238</v>
      </c>
      <c r="AA7" s="308"/>
      <c r="AB7" s="308">
        <f>AA6-AB6</f>
        <v>47893.833821909269</v>
      </c>
      <c r="AC7" s="308"/>
      <c r="AD7" s="308">
        <f>AC6-AD6</f>
        <v>150596.83945467579</v>
      </c>
      <c r="AE7" s="308"/>
      <c r="AF7" s="308">
        <f>AE6-AF6</f>
        <v>157361.18490260246</v>
      </c>
      <c r="AG7" s="74"/>
      <c r="AH7" s="74"/>
      <c r="AI7" s="74"/>
      <c r="AJ7" s="74"/>
      <c r="AK7" s="74"/>
      <c r="AL7" s="74"/>
      <c r="AM7" s="74"/>
      <c r="AN7" s="74"/>
      <c r="AO7" s="74"/>
      <c r="AP7" s="74"/>
      <c r="AQ7" s="74"/>
      <c r="AR7" s="74"/>
      <c r="AS7" s="74"/>
      <c r="AT7" s="74"/>
      <c r="AU7" s="74"/>
    </row>
    <row r="8" spans="1:47" ht="14.25" customHeight="1" x14ac:dyDescent="0.25">
      <c r="A8" s="307" t="s">
        <v>874</v>
      </c>
      <c r="B8" s="309" t="s">
        <v>1181</v>
      </c>
      <c r="C8" s="310"/>
      <c r="D8" s="310">
        <f>D7/C6</f>
        <v>0.27372098487139146</v>
      </c>
      <c r="E8" s="74"/>
      <c r="F8" s="74"/>
      <c r="G8" s="307" t="s">
        <v>874</v>
      </c>
      <c r="H8" s="309" t="s">
        <v>1181</v>
      </c>
      <c r="I8" s="310"/>
      <c r="J8" s="310">
        <f>IF(I6=0,0,J7/I6)</f>
        <v>0.2402397230513442</v>
      </c>
      <c r="K8" s="310"/>
      <c r="L8" s="310">
        <f>IF(K6=0,0,L7/K6)</f>
        <v>0.36167613523651848</v>
      </c>
      <c r="M8" s="310"/>
      <c r="N8" s="310">
        <f>IF(M6=0,0,N7/M6)</f>
        <v>9.5590708834046176E-2</v>
      </c>
      <c r="O8" s="310"/>
      <c r="P8" s="310">
        <f>IF(O6=0,0,P7/O6)</f>
        <v>0.51531160292674305</v>
      </c>
      <c r="Q8" s="310"/>
      <c r="R8" s="310">
        <f>IF(Q6=0,0,R7/Q6)</f>
        <v>0.62526180916032759</v>
      </c>
      <c r="S8" s="310"/>
      <c r="T8" s="310">
        <f>IF(S6=0,0,T7/S6)</f>
        <v>-2.804304461238637E-2</v>
      </c>
      <c r="U8" s="310"/>
      <c r="V8" s="310">
        <f>IF(U6=0,0,V7/U6)</f>
        <v>-5.8231094072667281E-3</v>
      </c>
      <c r="W8" s="310"/>
      <c r="X8" s="310">
        <f>IF(W6=0,0,X7/W6)</f>
        <v>-1.2489190238320451E-2</v>
      </c>
      <c r="Y8" s="310"/>
      <c r="Z8" s="310">
        <f>IF(Y6=0,0,Z7/Y6)</f>
        <v>-1.2927035569242405E-2</v>
      </c>
      <c r="AA8" s="310"/>
      <c r="AB8" s="310">
        <f>IF(AA6=0,0,AB7/AA6)</f>
        <v>0.13541982898726682</v>
      </c>
      <c r="AC8" s="310"/>
      <c r="AD8" s="310">
        <f>IF(AC6=0,0,AD7/AC6)</f>
        <v>0.24063991390821868</v>
      </c>
      <c r="AE8" s="310"/>
      <c r="AF8" s="310">
        <f>IF(AE6=0,0,AF7/AE6)</f>
        <v>0.25308922970214764</v>
      </c>
      <c r="AG8" s="74"/>
      <c r="AH8" s="74"/>
      <c r="AI8" s="74"/>
      <c r="AJ8" s="74"/>
      <c r="AK8" s="74"/>
      <c r="AL8" s="74"/>
      <c r="AM8" s="74"/>
      <c r="AN8" s="74"/>
      <c r="AO8" s="74"/>
      <c r="AP8" s="74"/>
      <c r="AQ8" s="74"/>
      <c r="AR8" s="74"/>
      <c r="AS8" s="74"/>
      <c r="AT8" s="74"/>
      <c r="AU8" s="74"/>
    </row>
    <row r="9" spans="1:47" ht="30" customHeight="1" x14ac:dyDescent="0.25">
      <c r="A9" s="311" t="s">
        <v>1182</v>
      </c>
      <c r="B9" s="304" t="s">
        <v>842</v>
      </c>
      <c r="C9" s="305">
        <f>'Расчет базового уровня'!D9</f>
        <v>4242898.4680000003</v>
      </c>
      <c r="D9" s="305">
        <f>D12+D15</f>
        <v>3075041.2352820332</v>
      </c>
      <c r="E9" s="74"/>
      <c r="F9" s="74"/>
      <c r="G9" s="311" t="s">
        <v>1182</v>
      </c>
      <c r="H9" s="304" t="s">
        <v>842</v>
      </c>
      <c r="I9" s="306">
        <f>'Расчет базового уровня'!J9</f>
        <v>641611.98100000003</v>
      </c>
      <c r="J9" s="306">
        <f>J12+J15</f>
        <v>485980.18770519394</v>
      </c>
      <c r="K9" s="306">
        <f>'Расчет базового уровня'!M9</f>
        <v>728298.51199999999</v>
      </c>
      <c r="L9" s="306">
        <f>L12+L15</f>
        <v>463899.96938830009</v>
      </c>
      <c r="M9" s="306">
        <f>'Расчет базового уровня'!P9</f>
        <v>434894.54600000003</v>
      </c>
      <c r="N9" s="306">
        <f>N12+N15</f>
        <v>392064.31654125359</v>
      </c>
      <c r="O9" s="306">
        <f>'Расчет базового уровня'!S9</f>
        <v>412056.71500000003</v>
      </c>
      <c r="P9" s="306">
        <f>P12+P15</f>
        <v>198142.70257243834</v>
      </c>
      <c r="Q9" s="306">
        <f>'Расчет базового уровня'!V9</f>
        <v>216508.73200000002</v>
      </c>
      <c r="R9" s="306">
        <f>R12+R15</f>
        <v>79264.542381188498</v>
      </c>
      <c r="S9" s="306">
        <f>'Расчет базового уровня'!Y9</f>
        <v>46632.811000000002</v>
      </c>
      <c r="T9" s="306">
        <f>T12+T15</f>
        <v>46632.811000000002</v>
      </c>
      <c r="U9" s="306">
        <f>'Расчет базового уровня'!AB9</f>
        <v>59313</v>
      </c>
      <c r="V9" s="306">
        <f>V12+V15</f>
        <v>59313.000000000007</v>
      </c>
      <c r="W9" s="306">
        <f>'Расчет базового уровня'!AE9</f>
        <v>43031</v>
      </c>
      <c r="X9" s="306">
        <f>X12+X15</f>
        <v>43031</v>
      </c>
      <c r="Y9" s="306">
        <f>'Расчет базового уровня'!AH9</f>
        <v>62802</v>
      </c>
      <c r="Z9" s="306">
        <f>Z12+Z15</f>
        <v>62802</v>
      </c>
      <c r="AA9" s="306">
        <f>'Расчет базового уровня'!AK9</f>
        <v>352669.283</v>
      </c>
      <c r="AB9" s="306">
        <f>AB12+AB15</f>
        <v>303442.85532031074</v>
      </c>
      <c r="AC9" s="306">
        <f>'Расчет базового уровня'!AN9</f>
        <v>624518.20700000005</v>
      </c>
      <c r="AD9" s="306">
        <f>AD12+AD15</f>
        <v>472735.25683453592</v>
      </c>
      <c r="AE9" s="306">
        <f>'Расчет базового уровня'!AQ9</f>
        <v>620561.6810000001</v>
      </c>
      <c r="AF9" s="306">
        <f>AF12+AF15</f>
        <v>461880.03049736709</v>
      </c>
      <c r="AG9" s="74"/>
      <c r="AH9" s="74"/>
      <c r="AI9" s="74"/>
      <c r="AJ9" s="74"/>
      <c r="AK9" s="74"/>
      <c r="AL9" s="74"/>
      <c r="AM9" s="74"/>
      <c r="AN9" s="74"/>
      <c r="AO9" s="74"/>
      <c r="AP9" s="74"/>
      <c r="AQ9" s="74"/>
      <c r="AR9" s="74"/>
      <c r="AS9" s="74"/>
      <c r="AT9" s="74"/>
      <c r="AU9" s="74"/>
    </row>
    <row r="10" spans="1:47" ht="16.5" customHeight="1" x14ac:dyDescent="0.25">
      <c r="A10" s="307" t="s">
        <v>1339</v>
      </c>
      <c r="B10" s="304" t="s">
        <v>842</v>
      </c>
      <c r="C10" s="308"/>
      <c r="D10" s="308">
        <f>C9-D9</f>
        <v>1167857.2327179671</v>
      </c>
      <c r="E10" s="74"/>
      <c r="F10" s="74"/>
      <c r="G10" s="307" t="s">
        <v>1339</v>
      </c>
      <c r="H10" s="304" t="s">
        <v>842</v>
      </c>
      <c r="I10" s="308"/>
      <c r="J10" s="308">
        <f>I9-J9</f>
        <v>155631.79329480609</v>
      </c>
      <c r="K10" s="308"/>
      <c r="L10" s="308">
        <f>K9-L9</f>
        <v>264398.5426116999</v>
      </c>
      <c r="M10" s="308"/>
      <c r="N10" s="308">
        <f>M9-N9</f>
        <v>42830.229458746442</v>
      </c>
      <c r="O10" s="308"/>
      <c r="P10" s="308">
        <f>O9-P9</f>
        <v>213914.01242756168</v>
      </c>
      <c r="Q10" s="308"/>
      <c r="R10" s="308">
        <f>Q9-R9</f>
        <v>137244.18961881154</v>
      </c>
      <c r="S10" s="308"/>
      <c r="T10" s="308">
        <f>S9-T9</f>
        <v>0</v>
      </c>
      <c r="U10" s="308"/>
      <c r="V10" s="308">
        <f>U9-V9</f>
        <v>0</v>
      </c>
      <c r="W10" s="308"/>
      <c r="X10" s="308">
        <f>W9-X9</f>
        <v>0</v>
      </c>
      <c r="Y10" s="308"/>
      <c r="Z10" s="308">
        <f>Y9-Z9</f>
        <v>0</v>
      </c>
      <c r="AA10" s="308"/>
      <c r="AB10" s="308">
        <f>AA9-AB9</f>
        <v>49226.427679689252</v>
      </c>
      <c r="AC10" s="308"/>
      <c r="AD10" s="308">
        <f>AC9-AD9</f>
        <v>151782.95016546414</v>
      </c>
      <c r="AE10" s="308"/>
      <c r="AF10" s="308">
        <f>AE9-AF9</f>
        <v>158681.65050263301</v>
      </c>
      <c r="AG10" s="74"/>
      <c r="AH10" s="74"/>
      <c r="AI10" s="74"/>
      <c r="AJ10" s="74"/>
      <c r="AK10" s="74"/>
      <c r="AL10" s="74"/>
      <c r="AM10" s="74"/>
      <c r="AN10" s="74"/>
      <c r="AO10" s="74"/>
      <c r="AP10" s="74"/>
      <c r="AQ10" s="74"/>
      <c r="AR10" s="74"/>
      <c r="AS10" s="74"/>
      <c r="AT10" s="74"/>
      <c r="AU10" s="74"/>
    </row>
    <row r="11" spans="1:47" ht="15.75" customHeight="1" x14ac:dyDescent="0.25">
      <c r="A11" s="307" t="s">
        <v>874</v>
      </c>
      <c r="B11" s="309" t="s">
        <v>1181</v>
      </c>
      <c r="C11" s="310"/>
      <c r="D11" s="310">
        <f>D10/C9</f>
        <v>0.27524986551668928</v>
      </c>
      <c r="E11" s="74"/>
      <c r="F11" s="74"/>
      <c r="G11" s="307" t="s">
        <v>874</v>
      </c>
      <c r="H11" s="309" t="s">
        <v>1181</v>
      </c>
      <c r="I11" s="310"/>
      <c r="J11" s="310">
        <f>IF(I9=0,0,J10/I9)</f>
        <v>0.24256372683727376</v>
      </c>
      <c r="K11" s="310"/>
      <c r="L11" s="310">
        <f>IF(K9=0,0,L10/K9)</f>
        <v>0.36303595058244453</v>
      </c>
      <c r="M11" s="310"/>
      <c r="N11" s="310">
        <f>IF(M9=0,0,N10/M9)</f>
        <v>9.8484172433715544E-2</v>
      </c>
      <c r="O11" s="310"/>
      <c r="P11" s="310">
        <f>IF(O9=0,0,P10/O9)</f>
        <v>0.51913730474592967</v>
      </c>
      <c r="Q11" s="310"/>
      <c r="R11" s="310">
        <f>IF(Q9=0,0,R10/Q9)</f>
        <v>0.63389678721508347</v>
      </c>
      <c r="S11" s="310"/>
      <c r="T11" s="310">
        <f>IF(S9=0,0,T10/S9)</f>
        <v>0</v>
      </c>
      <c r="U11" s="310"/>
      <c r="V11" s="310">
        <f>IF(U9=0,0,V10/U9)</f>
        <v>0</v>
      </c>
      <c r="W11" s="310"/>
      <c r="X11" s="310">
        <f>IF(W9=0,0,X10/W9)</f>
        <v>0</v>
      </c>
      <c r="Y11" s="310"/>
      <c r="Z11" s="310">
        <f>IF(Y9=0,0,Z10/Y9)</f>
        <v>0</v>
      </c>
      <c r="AA11" s="310"/>
      <c r="AB11" s="310">
        <f>IF(AA9=0,0,AB10/AA9)</f>
        <v>0.13958240780411049</v>
      </c>
      <c r="AC11" s="310"/>
      <c r="AD11" s="310">
        <f>IF(AC9=0,0,AD10/AC9)</f>
        <v>0.24304007227360808</v>
      </c>
      <c r="AE11" s="310"/>
      <c r="AF11" s="310">
        <f>IF(AE9=0,0,AF10/AE9)</f>
        <v>0.25570649197502254</v>
      </c>
      <c r="AG11" s="74"/>
      <c r="AH11" s="74"/>
      <c r="AI11" s="74"/>
      <c r="AJ11" s="74"/>
      <c r="AK11" s="74"/>
      <c r="AL11" s="74"/>
      <c r="AM11" s="74"/>
      <c r="AN11" s="74"/>
      <c r="AO11" s="74"/>
      <c r="AP11" s="74"/>
      <c r="AQ11" s="74"/>
      <c r="AR11" s="74"/>
      <c r="AS11" s="74"/>
      <c r="AT11" s="74"/>
      <c r="AU11" s="74"/>
    </row>
    <row r="12" spans="1:47" ht="20.25" customHeight="1" x14ac:dyDescent="0.25">
      <c r="A12" s="312" t="s">
        <v>1185</v>
      </c>
      <c r="B12" s="304" t="s">
        <v>842</v>
      </c>
      <c r="C12" s="305">
        <f>'Расчет базового уровня'!D12</f>
        <v>3244871.1810000003</v>
      </c>
      <c r="D12" s="305">
        <f>D35</f>
        <v>2077013.9482820332</v>
      </c>
      <c r="E12" s="74"/>
      <c r="F12" s="74"/>
      <c r="G12" s="312" t="s">
        <v>1185</v>
      </c>
      <c r="H12" s="304" t="s">
        <v>842</v>
      </c>
      <c r="I12" s="306">
        <f>'Расчет базового уровня'!J12</f>
        <v>529900.01600000006</v>
      </c>
      <c r="J12" s="306">
        <f>J35</f>
        <v>374268.22270519391</v>
      </c>
      <c r="K12" s="306">
        <f>'Расчет базового уровня'!M12</f>
        <v>607296.50300000003</v>
      </c>
      <c r="L12" s="306">
        <f>L35</f>
        <v>342897.96038830013</v>
      </c>
      <c r="M12" s="306">
        <f>'Расчет базового уровня'!P12</f>
        <v>333296.02900000004</v>
      </c>
      <c r="N12" s="306">
        <f>N35</f>
        <v>290465.7995412536</v>
      </c>
      <c r="O12" s="306">
        <f>'Расчет базового уровня'!S12</f>
        <v>348382.46500000003</v>
      </c>
      <c r="P12" s="306">
        <f>P35</f>
        <v>134468.45257243834</v>
      </c>
      <c r="Q12" s="306">
        <f>'Расчет базового уровня'!V12</f>
        <v>165943.818</v>
      </c>
      <c r="R12" s="306">
        <f>R35</f>
        <v>28699.628381188504</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0</v>
      </c>
      <c r="Z12" s="306">
        <f>Z35</f>
        <v>0</v>
      </c>
      <c r="AA12" s="306">
        <f>'Расчет базового уровня'!AK12</f>
        <v>256724.109</v>
      </c>
      <c r="AB12" s="306">
        <f>AB35</f>
        <v>207497.68132031074</v>
      </c>
      <c r="AC12" s="306">
        <f>'Расчет базового уровня'!AN12</f>
        <v>496129.98500000004</v>
      </c>
      <c r="AD12" s="306">
        <f>AD35</f>
        <v>344347.03483453591</v>
      </c>
      <c r="AE12" s="306">
        <f>'Расчет базового уровня'!AQ12</f>
        <v>507198.25600000005</v>
      </c>
      <c r="AF12" s="306">
        <f>AF35</f>
        <v>348516.6054973671</v>
      </c>
      <c r="AG12" s="74"/>
      <c r="AH12" s="74"/>
      <c r="AI12" s="74"/>
      <c r="AJ12" s="74"/>
      <c r="AK12" s="74"/>
      <c r="AL12" s="74"/>
      <c r="AM12" s="74"/>
      <c r="AN12" s="74"/>
      <c r="AO12" s="74"/>
      <c r="AP12" s="74"/>
      <c r="AQ12" s="74"/>
      <c r="AR12" s="74"/>
      <c r="AS12" s="74"/>
      <c r="AT12" s="74"/>
      <c r="AU12" s="74"/>
    </row>
    <row r="13" spans="1:47" x14ac:dyDescent="0.25">
      <c r="A13" s="307" t="s">
        <v>1339</v>
      </c>
      <c r="B13" s="304" t="s">
        <v>842</v>
      </c>
      <c r="C13" s="308"/>
      <c r="D13" s="308">
        <f>C12-D12</f>
        <v>1167857.2327179671</v>
      </c>
      <c r="E13" s="74"/>
      <c r="F13" s="74"/>
      <c r="G13" s="307" t="s">
        <v>1339</v>
      </c>
      <c r="H13" s="304" t="s">
        <v>842</v>
      </c>
      <c r="I13" s="308"/>
      <c r="J13" s="308">
        <f>I12-J12</f>
        <v>155631.79329480615</v>
      </c>
      <c r="K13" s="308"/>
      <c r="L13" s="308">
        <f>K12-L12</f>
        <v>264398.5426116999</v>
      </c>
      <c r="M13" s="308"/>
      <c r="N13" s="308">
        <f>M12-N12</f>
        <v>42830.229458746442</v>
      </c>
      <c r="O13" s="308"/>
      <c r="P13" s="308">
        <f>O12-P12</f>
        <v>213914.01242756168</v>
      </c>
      <c r="Q13" s="308"/>
      <c r="R13" s="308">
        <f>Q12-R12</f>
        <v>137244.18961881151</v>
      </c>
      <c r="S13" s="308"/>
      <c r="T13" s="308">
        <f>S12-T12</f>
        <v>0</v>
      </c>
      <c r="U13" s="308"/>
      <c r="V13" s="308">
        <f>U12-V12</f>
        <v>0</v>
      </c>
      <c r="W13" s="308"/>
      <c r="X13" s="308">
        <f>W12-X12</f>
        <v>0</v>
      </c>
      <c r="Y13" s="308"/>
      <c r="Z13" s="308">
        <f>Y12-Z12</f>
        <v>0</v>
      </c>
      <c r="AA13" s="308"/>
      <c r="AB13" s="308">
        <f>AA12-AB12</f>
        <v>49226.427679689252</v>
      </c>
      <c r="AC13" s="308"/>
      <c r="AD13" s="308">
        <f>AC12-AD12</f>
        <v>151782.95016546414</v>
      </c>
      <c r="AE13" s="308"/>
      <c r="AF13" s="308">
        <f>AE12-AF12</f>
        <v>158681.65050263295</v>
      </c>
      <c r="AG13" s="74"/>
      <c r="AH13" s="74"/>
      <c r="AI13" s="74"/>
      <c r="AJ13" s="74"/>
      <c r="AK13" s="74"/>
      <c r="AL13" s="74"/>
      <c r="AM13" s="74"/>
      <c r="AN13" s="74"/>
      <c r="AO13" s="74"/>
      <c r="AP13" s="74"/>
      <c r="AQ13" s="74"/>
      <c r="AR13" s="74"/>
      <c r="AS13" s="74"/>
      <c r="AT13" s="74"/>
      <c r="AU13" s="74"/>
    </row>
    <row r="14" spans="1:47" x14ac:dyDescent="0.25">
      <c r="A14" s="307" t="s">
        <v>874</v>
      </c>
      <c r="B14" s="309" t="s">
        <v>1181</v>
      </c>
      <c r="C14" s="310"/>
      <c r="D14" s="310">
        <f>D13/C12</f>
        <v>0.3599086581791695</v>
      </c>
      <c r="E14" s="74"/>
      <c r="F14" s="74"/>
      <c r="G14" s="307" t="s">
        <v>874</v>
      </c>
      <c r="H14" s="309" t="s">
        <v>1181</v>
      </c>
      <c r="I14" s="310"/>
      <c r="J14" s="310">
        <f>IF(I12=0,0,J13/I12)</f>
        <v>0.29370029929345415</v>
      </c>
      <c r="K14" s="310"/>
      <c r="L14" s="310">
        <f>IF(K12=0,0,L13/K12)</f>
        <v>0.43536977622230749</v>
      </c>
      <c r="M14" s="310"/>
      <c r="N14" s="310">
        <f>IF(M12=0,0,N13/M12)</f>
        <v>0.12850506976411183</v>
      </c>
      <c r="O14" s="310"/>
      <c r="P14" s="310">
        <f>IF(O12=0,0,P13/O12)</f>
        <v>0.61402060642622092</v>
      </c>
      <c r="Q14" s="310"/>
      <c r="R14" s="310">
        <f>IF(Q12=0,0,R13/Q12)</f>
        <v>0.8270521389281974</v>
      </c>
      <c r="S14" s="310"/>
      <c r="T14" s="310">
        <f>IF(S12=0,0,T13/S12)</f>
        <v>0</v>
      </c>
      <c r="U14" s="310"/>
      <c r="V14" s="310">
        <f>IF(U12=0,0,V13/U12)</f>
        <v>0</v>
      </c>
      <c r="W14" s="310"/>
      <c r="X14" s="310">
        <f>IF(W12=0,0,X13/W12)</f>
        <v>0</v>
      </c>
      <c r="Y14" s="310"/>
      <c r="Z14" s="310">
        <f>IF(Y12=0,0,Z13/Y12)</f>
        <v>0</v>
      </c>
      <c r="AA14" s="310"/>
      <c r="AB14" s="310">
        <f>IF(AA12=0,0,AB13/AA12)</f>
        <v>0.19174836314141908</v>
      </c>
      <c r="AC14" s="310"/>
      <c r="AD14" s="310">
        <f>IF(AC12=0,0,AD13/AC12)</f>
        <v>0.30593383741050062</v>
      </c>
      <c r="AE14" s="310"/>
      <c r="AF14" s="310">
        <f>IF(AE12=0,0,AF13/AE12)</f>
        <v>0.31285921949746004</v>
      </c>
      <c r="AG14" s="74"/>
      <c r="AH14" s="74"/>
      <c r="AI14" s="74"/>
      <c r="AJ14" s="74"/>
      <c r="AK14" s="74"/>
      <c r="AL14" s="74"/>
      <c r="AM14" s="74"/>
      <c r="AN14" s="74"/>
      <c r="AO14" s="74"/>
      <c r="AP14" s="74"/>
      <c r="AQ14" s="74"/>
      <c r="AR14" s="74"/>
      <c r="AS14" s="74"/>
      <c r="AT14" s="74"/>
      <c r="AU14" s="74"/>
    </row>
    <row r="15" spans="1:47" ht="16.5" customHeight="1" x14ac:dyDescent="0.25">
      <c r="A15" s="312" t="s">
        <v>999</v>
      </c>
      <c r="B15" s="304" t="s">
        <v>842</v>
      </c>
      <c r="C15" s="305">
        <f>'Расчет базового уровня'!D15</f>
        <v>998027.28700000001</v>
      </c>
      <c r="D15" s="306">
        <f>D85</f>
        <v>998027.28700000001</v>
      </c>
      <c r="E15" s="74"/>
      <c r="F15" s="74"/>
      <c r="G15" s="312" t="s">
        <v>999</v>
      </c>
      <c r="H15" s="304" t="s">
        <v>842</v>
      </c>
      <c r="I15" s="306">
        <f>'Расчет базового уровня'!J15</f>
        <v>111711.96500000001</v>
      </c>
      <c r="J15" s="306">
        <f>J85</f>
        <v>111711.96500000001</v>
      </c>
      <c r="K15" s="306">
        <f>'Расчет базового уровня'!M15</f>
        <v>121002.00900000001</v>
      </c>
      <c r="L15" s="306">
        <f>L85</f>
        <v>121002.00899999998</v>
      </c>
      <c r="M15" s="306">
        <f>'Расчет базового уровня'!P15</f>
        <v>101598.51699999999</v>
      </c>
      <c r="N15" s="306">
        <f>N85</f>
        <v>101598.51699999999</v>
      </c>
      <c r="O15" s="306">
        <f>'Расчет базового уровня'!S15</f>
        <v>63674.25</v>
      </c>
      <c r="P15" s="306">
        <f>P85</f>
        <v>63674.250000000007</v>
      </c>
      <c r="Q15" s="306">
        <f>'Расчет базового уровня'!V15</f>
        <v>50564.914000000004</v>
      </c>
      <c r="R15" s="306">
        <f>R85</f>
        <v>50564.913999999997</v>
      </c>
      <c r="S15" s="306">
        <f>'Расчет базового уровня'!Y15</f>
        <v>46632.811000000002</v>
      </c>
      <c r="T15" s="306">
        <f>T85</f>
        <v>46632.811000000002</v>
      </c>
      <c r="U15" s="306">
        <f>'Расчет базового уровня'!AB15</f>
        <v>59313</v>
      </c>
      <c r="V15" s="306">
        <f>V85</f>
        <v>59313.000000000007</v>
      </c>
      <c r="W15" s="306">
        <f>'Расчет базового уровня'!AE15</f>
        <v>43031</v>
      </c>
      <c r="X15" s="306">
        <f>X85</f>
        <v>43031</v>
      </c>
      <c r="Y15" s="306">
        <f>'Расчет базового уровня'!AH15</f>
        <v>62802</v>
      </c>
      <c r="Z15" s="306">
        <f>Z85</f>
        <v>62802</v>
      </c>
      <c r="AA15" s="306">
        <f>'Расчет базового уровня'!AK15</f>
        <v>95945.173999999999</v>
      </c>
      <c r="AB15" s="306">
        <f>AB85</f>
        <v>95945.173999999999</v>
      </c>
      <c r="AC15" s="306">
        <f>'Расчет базового уровня'!AN15</f>
        <v>128388.22200000001</v>
      </c>
      <c r="AD15" s="306">
        <f>AD85</f>
        <v>128388.22200000001</v>
      </c>
      <c r="AE15" s="306">
        <f>'Расчет базового уровня'!AQ15</f>
        <v>113363.42499999999</v>
      </c>
      <c r="AF15" s="306">
        <f>AF85</f>
        <v>113363.42499999999</v>
      </c>
      <c r="AG15" s="74"/>
      <c r="AH15" s="74"/>
      <c r="AI15" s="74"/>
      <c r="AJ15" s="74"/>
      <c r="AK15" s="74"/>
      <c r="AL15" s="74"/>
      <c r="AM15" s="74"/>
      <c r="AN15" s="74"/>
      <c r="AO15" s="74"/>
      <c r="AP15" s="74"/>
      <c r="AQ15" s="74"/>
      <c r="AR15" s="74"/>
      <c r="AS15" s="74"/>
      <c r="AT15" s="74"/>
      <c r="AU15" s="74"/>
    </row>
    <row r="16" spans="1:47" x14ac:dyDescent="0.25">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25">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25">
      <c r="A18" s="303" t="s">
        <v>1188</v>
      </c>
      <c r="B18" s="304" t="s">
        <v>842</v>
      </c>
      <c r="C18" s="305">
        <f>'Расчет базового уровня'!D18</f>
        <v>15060</v>
      </c>
      <c r="D18" s="305">
        <f>D100</f>
        <v>17424.647315526068</v>
      </c>
      <c r="E18" s="74"/>
      <c r="F18" s="74"/>
      <c r="G18" s="303" t="s">
        <v>1188</v>
      </c>
      <c r="H18" s="304" t="s">
        <v>842</v>
      </c>
      <c r="I18" s="306">
        <f>'Расчет базового уровня'!J18</f>
        <v>1400</v>
      </c>
      <c r="J18" s="306">
        <f>J100</f>
        <v>2554.7730606698951</v>
      </c>
      <c r="K18" s="306">
        <f>'Расчет базового уровня'!M18</f>
        <v>2250.0000000000005</v>
      </c>
      <c r="L18" s="306">
        <f>L100</f>
        <v>2426.5801887505722</v>
      </c>
      <c r="M18" s="306">
        <f>'Расчет базового уровня'!P18</f>
        <v>1310.0000000000002</v>
      </c>
      <c r="N18" s="306">
        <f>N100</f>
        <v>2443.1277099731192</v>
      </c>
      <c r="O18" s="306">
        <f>'Расчет базового уровня'!S18</f>
        <v>1300</v>
      </c>
      <c r="P18" s="306">
        <f>P100</f>
        <v>2206.5010403787464</v>
      </c>
      <c r="Q18" s="306">
        <f>'Расчет базового уровня'!V18</f>
        <v>600.00000000000011</v>
      </c>
      <c r="R18" s="306">
        <f>R100</f>
        <v>2094.3910639868122</v>
      </c>
      <c r="S18" s="306">
        <f>'Расчет базового уровня'!Y18</f>
        <v>700.00000000000011</v>
      </c>
      <c r="T18" s="306">
        <f>T100</f>
        <v>2027.3561305026492</v>
      </c>
      <c r="U18" s="306">
        <f>'Расчет базового уровня'!AB18</f>
        <v>1300</v>
      </c>
      <c r="V18" s="306">
        <f>V100</f>
        <v>1652.9561305026491</v>
      </c>
      <c r="W18" s="306">
        <f>'Расчет базового уровня'!AE18</f>
        <v>1500.0000000000002</v>
      </c>
      <c r="X18" s="306">
        <f>X100</f>
        <v>2056.1561305026494</v>
      </c>
      <c r="Y18" s="306">
        <f>'Расчет базового уровня'!AH18</f>
        <v>1200.0000000000002</v>
      </c>
      <c r="Z18" s="306">
        <f>Z100</f>
        <v>2027.3561305026492</v>
      </c>
      <c r="AA18" s="306">
        <f>'Расчет базового уровня'!AK18</f>
        <v>1000</v>
      </c>
      <c r="AB18" s="306">
        <f>AB100</f>
        <v>2332.5938577799939</v>
      </c>
      <c r="AC18" s="306">
        <f>'Расчет базового уровня'!AN18</f>
        <v>1300</v>
      </c>
      <c r="AD18" s="306">
        <f>AD100</f>
        <v>2486.1107107883331</v>
      </c>
      <c r="AE18" s="306">
        <f>'Расчет базового уровня'!AQ18</f>
        <v>1200</v>
      </c>
      <c r="AF18" s="306">
        <f>AF100</f>
        <v>2520.4656000305704</v>
      </c>
      <c r="AG18" s="74"/>
      <c r="AH18" s="74"/>
      <c r="AI18" s="74"/>
      <c r="AJ18" s="74"/>
      <c r="AK18" s="74"/>
      <c r="AL18" s="74"/>
      <c r="AM18" s="74"/>
      <c r="AN18" s="74"/>
      <c r="AO18" s="74"/>
      <c r="AP18" s="74"/>
      <c r="AQ18" s="74"/>
      <c r="AR18" s="74"/>
      <c r="AS18" s="74"/>
      <c r="AT18" s="74"/>
      <c r="AU18" s="74"/>
    </row>
    <row r="19" spans="1:47" ht="15.75" customHeight="1" x14ac:dyDescent="0.25">
      <c r="A19" s="307" t="s">
        <v>1339</v>
      </c>
      <c r="B19" s="304" t="s">
        <v>842</v>
      </c>
      <c r="C19" s="308"/>
      <c r="D19" s="308">
        <f>C18-D18</f>
        <v>-2364.6473155260683</v>
      </c>
      <c r="E19" s="74"/>
      <c r="F19" s="74"/>
      <c r="G19" s="307" t="s">
        <v>1339</v>
      </c>
      <c r="H19" s="304" t="s">
        <v>842</v>
      </c>
      <c r="I19" s="308"/>
      <c r="J19" s="308">
        <f>I18-J18</f>
        <v>-1154.7730606698951</v>
      </c>
      <c r="K19" s="308"/>
      <c r="L19" s="308">
        <f>K18-L18</f>
        <v>-176.58018875057178</v>
      </c>
      <c r="M19" s="308"/>
      <c r="N19" s="308">
        <f>M18-N18</f>
        <v>-1133.127709973119</v>
      </c>
      <c r="O19" s="308"/>
      <c r="P19" s="308">
        <f>O18-P18</f>
        <v>-906.50104037874644</v>
      </c>
      <c r="Q19" s="308"/>
      <c r="R19" s="308">
        <f>Q18-R18</f>
        <v>-1494.3910639868122</v>
      </c>
      <c r="S19" s="308"/>
      <c r="T19" s="308">
        <f>S18-T18</f>
        <v>-1327.3561305026492</v>
      </c>
      <c r="U19" s="308"/>
      <c r="V19" s="308">
        <f>U18-V18</f>
        <v>-352.9561305026491</v>
      </c>
      <c r="W19" s="308"/>
      <c r="X19" s="308">
        <f>W18-X18</f>
        <v>-556.15613050264915</v>
      </c>
      <c r="Y19" s="308"/>
      <c r="Z19" s="308">
        <f>Y18-Z18</f>
        <v>-827.35613050264897</v>
      </c>
      <c r="AA19" s="308"/>
      <c r="AB19" s="308">
        <f>AA18-AB18</f>
        <v>-1332.5938577799939</v>
      </c>
      <c r="AC19" s="308"/>
      <c r="AD19" s="308">
        <f>AC18-AD18</f>
        <v>-1186.1107107883331</v>
      </c>
      <c r="AE19" s="308"/>
      <c r="AF19" s="308">
        <f>AE18-AF18</f>
        <v>-1320.4656000305704</v>
      </c>
      <c r="AG19" s="74"/>
      <c r="AH19" s="74"/>
      <c r="AI19" s="74"/>
      <c r="AJ19" s="74"/>
      <c r="AK19" s="74"/>
      <c r="AL19" s="74"/>
      <c r="AM19" s="74"/>
      <c r="AN19" s="74"/>
      <c r="AO19" s="74"/>
      <c r="AP19" s="74"/>
      <c r="AQ19" s="74"/>
      <c r="AR19" s="74"/>
      <c r="AS19" s="74"/>
      <c r="AT19" s="74"/>
      <c r="AU19" s="74"/>
    </row>
    <row r="20" spans="1:47" ht="15" customHeight="1" x14ac:dyDescent="0.25">
      <c r="A20" s="307" t="s">
        <v>874</v>
      </c>
      <c r="B20" s="309" t="s">
        <v>1181</v>
      </c>
      <c r="C20" s="310"/>
      <c r="D20" s="310">
        <f>D19/C18</f>
        <v>-0.15701509399243482</v>
      </c>
      <c r="E20" s="74"/>
      <c r="F20" s="74"/>
      <c r="G20" s="307" t="s">
        <v>874</v>
      </c>
      <c r="H20" s="309" t="s">
        <v>1181</v>
      </c>
      <c r="I20" s="310"/>
      <c r="J20" s="310">
        <f>IF(I18=0,0,J19/I18)</f>
        <v>-0.82483790047849648</v>
      </c>
      <c r="K20" s="310"/>
      <c r="L20" s="310">
        <f>IF(K18=0,0,L19/K18)</f>
        <v>-7.8480083889143001E-2</v>
      </c>
      <c r="M20" s="310"/>
      <c r="N20" s="310">
        <f>IF(M18=0,0,N19/M18)</f>
        <v>-0.86498298471230439</v>
      </c>
      <c r="O20" s="310"/>
      <c r="P20" s="310">
        <f>IF(O18=0,0,P19/O18)</f>
        <v>-0.69730849259903571</v>
      </c>
      <c r="Q20" s="310"/>
      <c r="R20" s="310">
        <f>IF(Q18=0,0,R19/Q18)</f>
        <v>-2.4906517733113533</v>
      </c>
      <c r="S20" s="310"/>
      <c r="T20" s="310">
        <f>IF(S18=0,0,T19/S18)</f>
        <v>-1.8962230435752128</v>
      </c>
      <c r="U20" s="310"/>
      <c r="V20" s="310">
        <f>IF(U18=0,0,V19/U18)</f>
        <v>-0.27150471577126856</v>
      </c>
      <c r="W20" s="310"/>
      <c r="X20" s="310">
        <f>IF(W18=0,0,X19/W18)</f>
        <v>-0.37077075366843271</v>
      </c>
      <c r="Y20" s="310"/>
      <c r="Z20" s="310">
        <f>IF(Y18=0,0,Z19/Y18)</f>
        <v>-0.68946344208554067</v>
      </c>
      <c r="AA20" s="310"/>
      <c r="AB20" s="310">
        <f>IF(AA18=0,0,AB19/AA18)</f>
        <v>-1.3325938577799938</v>
      </c>
      <c r="AC20" s="310"/>
      <c r="AD20" s="310">
        <f>IF(AC18=0,0,AD19/AC18)</f>
        <v>-0.91239285445256391</v>
      </c>
      <c r="AE20" s="310"/>
      <c r="AF20" s="310">
        <f>IF(AE18=0,0,AF19/AE18)</f>
        <v>-1.1003880000254753</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5" t="s">
        <v>1189</v>
      </c>
      <c r="B23" s="304" t="s">
        <v>1190</v>
      </c>
      <c r="C23" s="305">
        <f>'Расчет базового уровня'!D23</f>
        <v>135.62839330706529</v>
      </c>
      <c r="D23" s="305">
        <f>D6/('Ввод исходных данных'!$G$45+'Ввод исходных данных'!$D$23)</f>
        <v>98.504055914530952</v>
      </c>
      <c r="E23" s="74"/>
      <c r="F23" s="74"/>
      <c r="G23" s="315" t="s">
        <v>1189</v>
      </c>
      <c r="H23" s="304" t="s">
        <v>1190</v>
      </c>
      <c r="I23" s="306">
        <f>'Расчет базового уровня'!J23</f>
        <v>0</v>
      </c>
      <c r="J23" s="306">
        <f>J6/'Ввод исходных данных'!$G$44</f>
        <v>14.504161246403577</v>
      </c>
      <c r="K23" s="306">
        <f>'Расчет базового уровня'!M23</f>
        <v>0</v>
      </c>
      <c r="L23" s="306">
        <f>L6/'Ввод исходных данных'!$G$44</f>
        <v>13.844813599299654</v>
      </c>
      <c r="M23" s="306">
        <f>'Расчет базового уровня'!P23</f>
        <v>0</v>
      </c>
      <c r="N23" s="306">
        <f>N6/'Ввод исходных данных'!$G$44</f>
        <v>11.712569301808266</v>
      </c>
      <c r="O23" s="306">
        <f>'Расчет базового уровня'!S23</f>
        <v>0</v>
      </c>
      <c r="P23" s="306">
        <f>P6/'Ввод исходных данных'!$G$44</f>
        <v>5.9481866972904864</v>
      </c>
      <c r="Q23" s="306">
        <f>'Расчет базового уровня'!V23</f>
        <v>0</v>
      </c>
      <c r="R23" s="306">
        <f>R6/'Ввод исходных данных'!$G$44</f>
        <v>2.4154731683364399</v>
      </c>
      <c r="S23" s="306">
        <f>'Расчет базового уровня'!Y23</f>
        <v>0</v>
      </c>
      <c r="T23" s="306">
        <f>T6/'Ввод исходных данных'!$G$44</f>
        <v>1.4446763630413109</v>
      </c>
      <c r="U23" s="306">
        <f>'Расчет базового уровня'!AB23</f>
        <v>0</v>
      </c>
      <c r="V23" s="306">
        <f>V6/'Ввод исходных данных'!$G$44</f>
        <v>1.8100241114202864</v>
      </c>
      <c r="W23" s="306">
        <f>'Расчет базового уровня'!AE23</f>
        <v>0</v>
      </c>
      <c r="X23" s="306">
        <f>X6/'Ввод исходных данных'!$G$44</f>
        <v>1.3385968972075222</v>
      </c>
      <c r="Y23" s="306">
        <f>'Расчет базового уровня'!AH23</f>
        <v>0</v>
      </c>
      <c r="Z23" s="306">
        <f>Z6/'Ввод исходных данных'!$G$44</f>
        <v>1.9247249640911173</v>
      </c>
      <c r="AA23" s="306">
        <f>'Расчет базового уровня'!AK23</f>
        <v>0</v>
      </c>
      <c r="AB23" s="306">
        <f>AB6/'Ввод исходных данных'!$G$44</f>
        <v>9.0781966005418475</v>
      </c>
      <c r="AC23" s="306">
        <f>'Расчет базового уровня'!AN23</f>
        <v>0</v>
      </c>
      <c r="AD23" s="306">
        <f>AD6/'Ввод исходных данных'!$G$44</f>
        <v>14.108892701984544</v>
      </c>
      <c r="AE23" s="306">
        <f>'Расчет базового уровня'!AQ23</f>
        <v>0</v>
      </c>
      <c r="AF23" s="306">
        <f>AF6/'Ввод исходных данных'!$G$44</f>
        <v>13.787630813047693</v>
      </c>
      <c r="AG23" s="74"/>
      <c r="AH23" s="74"/>
      <c r="AI23" s="74"/>
      <c r="AJ23" s="74"/>
      <c r="AK23" s="74"/>
      <c r="AL23" s="74"/>
      <c r="AM23" s="74"/>
      <c r="AN23" s="74"/>
      <c r="AO23" s="74"/>
      <c r="AP23" s="74"/>
      <c r="AQ23" s="74"/>
      <c r="AR23" s="74"/>
      <c r="AS23" s="74"/>
      <c r="AT23" s="74"/>
      <c r="AU23" s="74"/>
    </row>
    <row r="24" spans="1:47" x14ac:dyDescent="0.25">
      <c r="A24" s="307" t="s">
        <v>874</v>
      </c>
      <c r="B24" s="309" t="s">
        <v>1191</v>
      </c>
      <c r="C24" s="308"/>
      <c r="D24" s="316">
        <f>D7*1000/('Ввод исходных данных'!$G$45+'Ввод исходных данных'!$D$23)</f>
        <v>37124.337392534348</v>
      </c>
      <c r="E24" s="74"/>
      <c r="F24" s="74"/>
      <c r="G24" s="307" t="s">
        <v>874</v>
      </c>
      <c r="H24" s="309" t="s">
        <v>1191</v>
      </c>
      <c r="I24" s="95"/>
      <c r="J24" s="286">
        <f>0.123*J23</f>
        <v>1.7840118333076398</v>
      </c>
      <c r="K24" s="95"/>
      <c r="L24" s="286">
        <f>0.123*L23</f>
        <v>1.7029120727138574</v>
      </c>
      <c r="M24" s="95"/>
      <c r="N24" s="286">
        <f>0.123*N23</f>
        <v>1.4406460241224166</v>
      </c>
      <c r="O24" s="95"/>
      <c r="P24" s="286">
        <f>0.123*P23</f>
        <v>0.73162696376672987</v>
      </c>
      <c r="Q24" s="95"/>
      <c r="R24" s="286">
        <f>0.123*R23</f>
        <v>0.29710319970538213</v>
      </c>
      <c r="S24" s="95"/>
      <c r="T24" s="286">
        <f>0.123*T23</f>
        <v>0.17769519265408124</v>
      </c>
      <c r="U24" s="95"/>
      <c r="V24" s="286">
        <f>0.123*V23</f>
        <v>0.22263296570469523</v>
      </c>
      <c r="W24" s="95"/>
      <c r="X24" s="286">
        <f>0.123*X23</f>
        <v>0.16464741835652522</v>
      </c>
      <c r="Y24" s="95"/>
      <c r="Z24" s="286">
        <f>0.123*Z23</f>
        <v>0.23674117058320743</v>
      </c>
      <c r="AA24" s="95"/>
      <c r="AB24" s="286">
        <f>0.123*AB23</f>
        <v>1.1166181818666472</v>
      </c>
      <c r="AC24" s="95"/>
      <c r="AD24" s="286">
        <f>0.123*AD23</f>
        <v>1.7353938023440989</v>
      </c>
      <c r="AE24" s="95"/>
      <c r="AF24" s="286">
        <f>0.123*AF23</f>
        <v>1.6958785900048663</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2077013.9482820332</v>
      </c>
      <c r="C27" s="317">
        <f>D18</f>
        <v>17424.647315526068</v>
      </c>
      <c r="D27" s="317">
        <f>D15</f>
        <v>998027.28700000001</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3244871.1810000003</v>
      </c>
      <c r="C28" s="317">
        <f>C18</f>
        <v>15060</v>
      </c>
      <c r="D28" s="317">
        <f>C15</f>
        <v>998027.28700000001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68" t="s">
        <v>834</v>
      </c>
      <c r="B33" s="1778" t="s">
        <v>1174</v>
      </c>
      <c r="C33" s="1774" t="s">
        <v>1338</v>
      </c>
      <c r="D33" s="1794" t="s">
        <v>1337</v>
      </c>
      <c r="E33" s="74"/>
      <c r="F33" s="74"/>
      <c r="G33" s="1770" t="s">
        <v>834</v>
      </c>
      <c r="H33" s="1764" t="s">
        <v>1174</v>
      </c>
      <c r="I33" s="1805" t="s">
        <v>488</v>
      </c>
      <c r="J33" s="1806"/>
      <c r="K33" s="1805" t="s">
        <v>489</v>
      </c>
      <c r="L33" s="1806"/>
      <c r="M33" s="1805" t="s">
        <v>490</v>
      </c>
      <c r="N33" s="1806"/>
      <c r="O33" s="1805" t="s">
        <v>491</v>
      </c>
      <c r="P33" s="1806"/>
      <c r="Q33" s="1805" t="s">
        <v>805</v>
      </c>
      <c r="R33" s="1806"/>
      <c r="S33" s="1805" t="s">
        <v>806</v>
      </c>
      <c r="T33" s="1806"/>
      <c r="U33" s="1805" t="s">
        <v>807</v>
      </c>
      <c r="V33" s="1806"/>
      <c r="W33" s="1805" t="s">
        <v>808</v>
      </c>
      <c r="X33" s="1806"/>
      <c r="Y33" s="1805" t="s">
        <v>809</v>
      </c>
      <c r="Z33" s="1806"/>
      <c r="AA33" s="1805" t="s">
        <v>482</v>
      </c>
      <c r="AB33" s="1806"/>
      <c r="AC33" s="1805" t="s">
        <v>486</v>
      </c>
      <c r="AD33" s="1806"/>
      <c r="AE33" s="1805" t="s">
        <v>487</v>
      </c>
      <c r="AF33" s="1806"/>
      <c r="AG33" s="74"/>
      <c r="AH33" s="74"/>
      <c r="AI33" s="74"/>
      <c r="AJ33" s="74"/>
      <c r="AK33" s="74"/>
      <c r="AL33" s="74"/>
      <c r="AM33" s="74"/>
      <c r="AN33" s="74"/>
      <c r="AO33" s="74"/>
      <c r="AP33" s="74"/>
      <c r="AQ33" s="74"/>
      <c r="AR33" s="74"/>
      <c r="AS33" s="74"/>
      <c r="AT33" s="74"/>
      <c r="AU33" s="74"/>
    </row>
    <row r="34" spans="1:55" ht="74.45" customHeight="1" thickBot="1" x14ac:dyDescent="0.3">
      <c r="A34" s="1769"/>
      <c r="B34" s="1779"/>
      <c r="C34" s="1811"/>
      <c r="D34" s="1810"/>
      <c r="E34" s="74"/>
      <c r="F34" s="74"/>
      <c r="G34" s="1771"/>
      <c r="H34" s="1765"/>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25">
      <c r="A35" s="321" t="s">
        <v>1194</v>
      </c>
      <c r="B35" s="322" t="s">
        <v>842</v>
      </c>
      <c r="C35" s="323">
        <f>'Расчет базового уровня'!D35</f>
        <v>3244871.1810000003</v>
      </c>
      <c r="D35" s="324">
        <f>D38+D62+D65+D68-D71</f>
        <v>2077013.9482820332</v>
      </c>
      <c r="E35" s="74"/>
      <c r="F35" s="74"/>
      <c r="G35" s="325" t="s">
        <v>1192</v>
      </c>
      <c r="H35" s="326" t="s">
        <v>842</v>
      </c>
      <c r="I35" s="323">
        <f>'Расчет базового уровня'!J35</f>
        <v>529900.01600000006</v>
      </c>
      <c r="J35" s="327">
        <f>J38+J62+J65+J68-J71</f>
        <v>374268.22270519391</v>
      </c>
      <c r="K35" s="323">
        <f>'Расчет базового уровня'!M35</f>
        <v>607296.50300000003</v>
      </c>
      <c r="L35" s="328">
        <f>L38+L62+L65+L68-L71</f>
        <v>342897.96038830013</v>
      </c>
      <c r="M35" s="323">
        <f>'Расчет базового уровня'!P35</f>
        <v>333296.02900000004</v>
      </c>
      <c r="N35" s="327">
        <f>N38+N62+N65+N68-N71</f>
        <v>290465.7995412536</v>
      </c>
      <c r="O35" s="323">
        <f>'Расчет базового уровня'!S35</f>
        <v>348382.46500000003</v>
      </c>
      <c r="P35" s="328">
        <f>P38+P62+P65+P68-P71</f>
        <v>134468.45257243834</v>
      </c>
      <c r="Q35" s="323">
        <f>'Расчет базового уровня'!V35</f>
        <v>165943.818</v>
      </c>
      <c r="R35" s="327">
        <f>R38+R62+R65+R68-R71</f>
        <v>28699.628381188504</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0</v>
      </c>
      <c r="Z35" s="327">
        <f>Z38+Z62+Z65+Z68-Z71</f>
        <v>0</v>
      </c>
      <c r="AA35" s="323">
        <f>'Расчет базового уровня'!AK35</f>
        <v>256724.109</v>
      </c>
      <c r="AB35" s="327">
        <f>AB38+AB62+AB65+AB68-AB71</f>
        <v>207497.68132031074</v>
      </c>
      <c r="AC35" s="323">
        <f>'Расчет базового уровня'!AN35</f>
        <v>496129.98500000004</v>
      </c>
      <c r="AD35" s="327">
        <f>AD38+AD62+AD65+AD68-AD71</f>
        <v>344347.03483453591</v>
      </c>
      <c r="AE35" s="323">
        <f>'Расчет базового уровня'!AQ35</f>
        <v>507198.25600000005</v>
      </c>
      <c r="AF35" s="327">
        <f>AF38+AF62+AF65+AF68-AF71</f>
        <v>348516.6054973671</v>
      </c>
      <c r="AG35" s="74"/>
      <c r="AH35" s="74"/>
      <c r="AI35" s="74"/>
      <c r="AJ35" s="74"/>
      <c r="AK35" s="74"/>
      <c r="AL35" s="74"/>
      <c r="AM35" s="74"/>
      <c r="AN35" s="74"/>
      <c r="AO35" s="74"/>
      <c r="AP35" s="74"/>
      <c r="AQ35" s="74"/>
      <c r="AR35" s="74"/>
      <c r="AS35" s="74"/>
      <c r="AT35" s="74"/>
      <c r="AU35" s="74"/>
    </row>
    <row r="36" spans="1:55" ht="11.25" customHeight="1" x14ac:dyDescent="0.25">
      <c r="A36" s="307" t="s">
        <v>1339</v>
      </c>
      <c r="B36" s="304" t="s">
        <v>842</v>
      </c>
      <c r="C36" s="308"/>
      <c r="D36" s="308">
        <f>C35-D35</f>
        <v>1167857.2327179671</v>
      </c>
      <c r="E36" s="74"/>
      <c r="F36" s="74"/>
      <c r="G36" s="307" t="s">
        <v>1339</v>
      </c>
      <c r="H36" s="304" t="s">
        <v>842</v>
      </c>
      <c r="I36" s="308"/>
      <c r="J36" s="308">
        <f>I35-J35</f>
        <v>155631.79329480615</v>
      </c>
      <c r="K36" s="308"/>
      <c r="L36" s="308">
        <f>K35-L35</f>
        <v>264398.5426116999</v>
      </c>
      <c r="M36" s="308"/>
      <c r="N36" s="308">
        <f>M35-N35</f>
        <v>42830.229458746442</v>
      </c>
      <c r="O36" s="308"/>
      <c r="P36" s="308">
        <f>O35-P35</f>
        <v>213914.01242756168</v>
      </c>
      <c r="Q36" s="308"/>
      <c r="R36" s="308">
        <f>Q35-R35</f>
        <v>137244.18961881151</v>
      </c>
      <c r="S36" s="308"/>
      <c r="T36" s="308">
        <f>S35-T35</f>
        <v>0</v>
      </c>
      <c r="U36" s="308"/>
      <c r="V36" s="308">
        <f>U35-V35</f>
        <v>0</v>
      </c>
      <c r="W36" s="308"/>
      <c r="X36" s="308">
        <f>W35-X35</f>
        <v>0</v>
      </c>
      <c r="Y36" s="308"/>
      <c r="Z36" s="308">
        <f>Y35-Z35</f>
        <v>0</v>
      </c>
      <c r="AA36" s="308"/>
      <c r="AB36" s="308">
        <f>AA35-AB35</f>
        <v>49226.427679689252</v>
      </c>
      <c r="AC36" s="308"/>
      <c r="AD36" s="308">
        <f>AC35-AD35</f>
        <v>151782.95016546414</v>
      </c>
      <c r="AE36" s="308"/>
      <c r="AF36" s="308">
        <f>AE35-AF35</f>
        <v>158681.65050263295</v>
      </c>
      <c r="AG36" s="74"/>
      <c r="AH36" s="74"/>
      <c r="AI36" s="74"/>
      <c r="AJ36" s="74"/>
      <c r="AK36" s="74"/>
      <c r="AL36" s="74"/>
      <c r="AM36" s="74"/>
      <c r="AN36" s="74"/>
      <c r="AO36" s="74"/>
      <c r="AP36" s="74"/>
      <c r="AQ36" s="74"/>
      <c r="AR36" s="74"/>
      <c r="AS36" s="74"/>
      <c r="AT36" s="74"/>
      <c r="AU36" s="74"/>
    </row>
    <row r="37" spans="1:55" ht="15.75" thickBot="1" x14ac:dyDescent="0.3">
      <c r="A37" s="307" t="s">
        <v>874</v>
      </c>
      <c r="B37" s="309" t="s">
        <v>1181</v>
      </c>
      <c r="C37" s="310"/>
      <c r="D37" s="310">
        <f>IF(C35=0,0,D36/C35)</f>
        <v>0.3599086581791695</v>
      </c>
      <c r="E37" s="74"/>
      <c r="F37" s="74"/>
      <c r="G37" s="307" t="s">
        <v>874</v>
      </c>
      <c r="H37" s="309" t="s">
        <v>1181</v>
      </c>
      <c r="I37" s="310"/>
      <c r="J37" s="310">
        <f>IF(I35=0,0,J36/I35)</f>
        <v>0.29370029929345415</v>
      </c>
      <c r="K37" s="310"/>
      <c r="L37" s="310">
        <f>IF(K35=0,0,L36/K35)</f>
        <v>0.43536977622230749</v>
      </c>
      <c r="M37" s="310"/>
      <c r="N37" s="310">
        <f>IF(M35=0,0,N36/M35)</f>
        <v>0.12850506976411183</v>
      </c>
      <c r="O37" s="310"/>
      <c r="P37" s="310">
        <f>IF(O35=0,0,P36/O35)</f>
        <v>0.61402060642622092</v>
      </c>
      <c r="Q37" s="310"/>
      <c r="R37" s="310">
        <f>IF(Q35=0,0,R36/Q35)</f>
        <v>0.8270521389281974</v>
      </c>
      <c r="S37" s="310"/>
      <c r="T37" s="310">
        <f>IF(S35=0,0,T36/S35)</f>
        <v>0</v>
      </c>
      <c r="U37" s="310"/>
      <c r="V37" s="310">
        <f>IF(U35=0,0,V36/U35)</f>
        <v>0</v>
      </c>
      <c r="W37" s="310"/>
      <c r="X37" s="310">
        <f>IF(W35=0,0,X36/W35)</f>
        <v>0</v>
      </c>
      <c r="Y37" s="310"/>
      <c r="Z37" s="310">
        <f>IF(Y35=0,0,Z36/Y35)</f>
        <v>0</v>
      </c>
      <c r="AA37" s="310"/>
      <c r="AB37" s="310">
        <f>IF(AA35=0,0,AB36/AA35)</f>
        <v>0.19174836314141908</v>
      </c>
      <c r="AC37" s="310"/>
      <c r="AD37" s="310">
        <f>IF(AC35=0,0,AD36/AC35)</f>
        <v>0.30593383741050062</v>
      </c>
      <c r="AE37" s="310"/>
      <c r="AF37" s="310">
        <f>IF(AE35=0,0,AF36/AE35)</f>
        <v>0.31285921949746004</v>
      </c>
      <c r="AG37" s="74"/>
      <c r="AH37" s="74"/>
      <c r="AI37" s="74"/>
      <c r="AJ37" s="74"/>
      <c r="AK37" s="74"/>
      <c r="AL37" s="74"/>
      <c r="AM37" s="74"/>
      <c r="AN37" s="74"/>
      <c r="AO37" s="74"/>
      <c r="AP37" s="74"/>
      <c r="AQ37" s="74"/>
      <c r="AR37" s="74"/>
      <c r="AS37" s="74"/>
      <c r="AT37" s="74"/>
      <c r="AU37" s="74"/>
    </row>
    <row r="38" spans="1:55" ht="29.25" customHeight="1" x14ac:dyDescent="0.25">
      <c r="A38" s="329" t="s">
        <v>1195</v>
      </c>
      <c r="B38" s="322" t="s">
        <v>842</v>
      </c>
      <c r="C38" s="323">
        <f>'Расчет базового уровня'!D38</f>
        <v>1633264.9800744583</v>
      </c>
      <c r="D38" s="330">
        <f>D41+D44+D47+D50+D53+D56+D59</f>
        <v>1137199.6596898215</v>
      </c>
      <c r="E38" s="74"/>
      <c r="F38" s="74"/>
      <c r="G38" s="325" t="s">
        <v>1196</v>
      </c>
      <c r="H38" s="331" t="s">
        <v>842</v>
      </c>
      <c r="I38" s="323">
        <f>'Расчет базового уровня'!J38</f>
        <v>267186.82242175261</v>
      </c>
      <c r="J38" s="330">
        <f>J41+J44+J47+J50+J53+J56+J59</f>
        <v>198589.34960776393</v>
      </c>
      <c r="K38" s="323">
        <f>'Расчет базового уровня'!M38</f>
        <v>296218.28054347436</v>
      </c>
      <c r="L38" s="330">
        <f>L41+L44+L47+L50+L53+L56+L59</f>
        <v>181821.50829526046</v>
      </c>
      <c r="M38" s="323">
        <f>'Расчет базового уровня'!P38</f>
        <v>177625.23815254556</v>
      </c>
      <c r="N38" s="330">
        <f>N41+N44+N47+N50+N53+N56+N59</f>
        <v>159075.95613384221</v>
      </c>
      <c r="O38" s="323">
        <f>'Расчет базового уровня'!S38</f>
        <v>172942.99794392486</v>
      </c>
      <c r="P38" s="330">
        <f>P41+P44+P47+P50+P53+P56+P59</f>
        <v>85329.244849438401</v>
      </c>
      <c r="Q38" s="323">
        <f>'Расчет базового уровня'!V38</f>
        <v>51744.551255269485</v>
      </c>
      <c r="R38" s="330">
        <f>R41+R44+R47+R50+R53+R56+R59</f>
        <v>22498.720861378577</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136470.07468571299</v>
      </c>
      <c r="AB38" s="330">
        <f>AB41+AB44+AB47+AB50+AB53+AB56+AB59</f>
        <v>119385.07830272833</v>
      </c>
      <c r="AC38" s="323">
        <f>'Расчет базового уровня'!AN38</f>
        <v>244691.63794859164</v>
      </c>
      <c r="AD38" s="330">
        <f>AD41+AD44+AD47+AD50+AD53+AD56+AD59</f>
        <v>183784.93798202695</v>
      </c>
      <c r="AE38" s="323">
        <f>'Расчет базового уровня'!AQ38</f>
        <v>255769.92878200629</v>
      </c>
      <c r="AF38" s="330">
        <f>AF41+AF44+AF47+AF50+AF53+AF56+AF59</f>
        <v>186500.43874329698</v>
      </c>
      <c r="AG38" s="74"/>
      <c r="AH38" s="74"/>
      <c r="AI38" s="74"/>
      <c r="AJ38" s="74"/>
      <c r="AK38" s="74"/>
      <c r="AL38" s="74"/>
      <c r="AM38" s="74"/>
      <c r="AN38" s="74"/>
      <c r="AO38" s="74"/>
      <c r="AP38" s="74"/>
      <c r="AQ38" s="74"/>
      <c r="AR38" s="74"/>
      <c r="AS38" s="74"/>
      <c r="AT38" s="74"/>
      <c r="AU38" s="74"/>
    </row>
    <row r="39" spans="1:55" x14ac:dyDescent="0.25">
      <c r="A39" s="307" t="s">
        <v>1339</v>
      </c>
      <c r="B39" s="304" t="s">
        <v>842</v>
      </c>
      <c r="C39" s="308"/>
      <c r="D39" s="308">
        <f>C38-D38</f>
        <v>496065.32038463675</v>
      </c>
      <c r="E39" s="74"/>
      <c r="F39" s="74"/>
      <c r="G39" s="307" t="s">
        <v>1339</v>
      </c>
      <c r="H39" s="304" t="s">
        <v>842</v>
      </c>
      <c r="I39" s="308"/>
      <c r="J39" s="308">
        <f>I38-J38</f>
        <v>68597.472813988687</v>
      </c>
      <c r="K39" s="308"/>
      <c r="L39" s="308">
        <f>K38-L38</f>
        <v>114396.77224821391</v>
      </c>
      <c r="M39" s="308"/>
      <c r="N39" s="308">
        <f>M38-N38</f>
        <v>18549.28201870335</v>
      </c>
      <c r="O39" s="308"/>
      <c r="P39" s="308">
        <f>O38-P38</f>
        <v>87613.753094486456</v>
      </c>
      <c r="Q39" s="308"/>
      <c r="R39" s="308">
        <f>Q38-R38</f>
        <v>29245.830393890908</v>
      </c>
      <c r="S39" s="308"/>
      <c r="T39" s="308">
        <f>S38-T38</f>
        <v>0</v>
      </c>
      <c r="U39" s="308"/>
      <c r="V39" s="308">
        <f>U38-V38</f>
        <v>0</v>
      </c>
      <c r="W39" s="308"/>
      <c r="X39" s="308">
        <f>W38-X38</f>
        <v>0</v>
      </c>
      <c r="Y39" s="308"/>
      <c r="Z39" s="308">
        <f>Y38-Z38</f>
        <v>0</v>
      </c>
      <c r="AA39" s="308"/>
      <c r="AB39" s="308">
        <f>AA38-AB38</f>
        <v>17084.996382984653</v>
      </c>
      <c r="AC39" s="308"/>
      <c r="AD39" s="308">
        <f>AC38-AD38</f>
        <v>60906.699966564687</v>
      </c>
      <c r="AE39" s="308"/>
      <c r="AF39" s="308">
        <f>AE38-AF38</f>
        <v>69269.490038709308</v>
      </c>
      <c r="AG39" s="74"/>
      <c r="AH39" s="74"/>
      <c r="AI39" s="74"/>
      <c r="AJ39" s="74"/>
      <c r="AK39" s="74"/>
      <c r="AL39" s="74"/>
      <c r="AM39" s="74"/>
      <c r="AN39" s="74"/>
      <c r="AO39" s="74"/>
      <c r="AP39" s="74"/>
      <c r="AQ39" s="74"/>
      <c r="AR39" s="74"/>
      <c r="AS39" s="74"/>
      <c r="AT39" s="74"/>
      <c r="AU39" s="74"/>
    </row>
    <row r="40" spans="1:55" ht="15.75" thickBot="1" x14ac:dyDescent="0.3">
      <c r="A40" s="307" t="s">
        <v>874</v>
      </c>
      <c r="B40" s="309" t="s">
        <v>1181</v>
      </c>
      <c r="C40" s="310"/>
      <c r="D40" s="310">
        <f>IF(C38=0,0,D39/C38)</f>
        <v>0.30372617207651254</v>
      </c>
      <c r="E40" s="74"/>
      <c r="F40" s="74"/>
      <c r="G40" s="307" t="s">
        <v>874</v>
      </c>
      <c r="H40" s="309" t="s">
        <v>1181</v>
      </c>
      <c r="I40" s="310"/>
      <c r="J40" s="310">
        <f>IF(I38=0,0,J39/I38)</f>
        <v>0.25673973062080147</v>
      </c>
      <c r="K40" s="310"/>
      <c r="L40" s="310">
        <f>IF(K38=0,0,L39/K38)</f>
        <v>0.38619079159574188</v>
      </c>
      <c r="M40" s="310"/>
      <c r="N40" s="310">
        <f>IF(M38=0,0,N39/M38)</f>
        <v>0.10442931540377794</v>
      </c>
      <c r="O40" s="310"/>
      <c r="P40" s="310">
        <f>IF(O38=0,0,P39/O38)</f>
        <v>0.50660480121256135</v>
      </c>
      <c r="Q40" s="310"/>
      <c r="R40" s="310">
        <f>IF(Q38=0,0,R39/Q38)</f>
        <v>0.56519632858759428</v>
      </c>
      <c r="S40" s="310"/>
      <c r="T40" s="310">
        <f>IF(S38=0,0,T39/S38)</f>
        <v>0</v>
      </c>
      <c r="U40" s="310"/>
      <c r="V40" s="310">
        <f>IF(U38=0,0,V39/U38)</f>
        <v>0</v>
      </c>
      <c r="W40" s="310"/>
      <c r="X40" s="310">
        <f>IF(W38=0,0,X39/W38)</f>
        <v>0</v>
      </c>
      <c r="Y40" s="310"/>
      <c r="Z40" s="310">
        <f>IF(Y38=0,0,Z39/Y38)</f>
        <v>0</v>
      </c>
      <c r="AA40" s="310"/>
      <c r="AB40" s="310">
        <f>IF(AA38=0,0,AB39/AA38)</f>
        <v>0.12519225494915975</v>
      </c>
      <c r="AC40" s="310"/>
      <c r="AD40" s="310">
        <f>IF(AC38=0,0,AD39/AC38)</f>
        <v>0.24891206122605974</v>
      </c>
      <c r="AE40" s="310"/>
      <c r="AF40" s="310">
        <f>IF(AE38=0,0,AF39/AE38)</f>
        <v>0.27082734224689864</v>
      </c>
      <c r="AG40" s="74"/>
      <c r="AH40" s="74"/>
      <c r="AI40" s="74"/>
      <c r="AJ40" s="74"/>
      <c r="AK40" s="74"/>
      <c r="AL40" s="74"/>
      <c r="AM40" s="74"/>
      <c r="AN40" s="74"/>
      <c r="AO40" s="74"/>
      <c r="AP40" s="74"/>
      <c r="AQ40" s="74"/>
      <c r="AR40" s="74"/>
      <c r="AS40" s="74"/>
      <c r="AT40" s="74"/>
      <c r="AU40" s="74"/>
    </row>
    <row r="41" spans="1:55" ht="15.75" customHeight="1" x14ac:dyDescent="0.25">
      <c r="A41" s="332" t="s">
        <v>1197</v>
      </c>
      <c r="B41" s="322" t="s">
        <v>842</v>
      </c>
      <c r="C41" s="323">
        <f>'Расчет базового уровня'!D41</f>
        <v>740678.03096471692</v>
      </c>
      <c r="D41" s="333">
        <f>IF(IF(C134=0,0,B134/C134*D134)*0.024*$D$147*(1-D163)&gt;C41,C41,IF(C134=0,0,B134/C134*D134)*0.024*$D$147*(1-D163))</f>
        <v>514128.01363355888</v>
      </c>
      <c r="E41" s="74"/>
      <c r="F41" s="74"/>
      <c r="G41" s="334" t="s">
        <v>1197</v>
      </c>
      <c r="H41" s="326" t="s">
        <v>842</v>
      </c>
      <c r="I41" s="323">
        <f>'Расчет базового уровня'!J41</f>
        <v>121167.97454509875</v>
      </c>
      <c r="J41" s="335">
        <f>IF($C134=0,0,MIN($B134/$C134*$D134*0.024*$G$147,I41))</f>
        <v>89839.92556390239</v>
      </c>
      <c r="K41" s="323">
        <f>'Расчет базового уровня'!M41</f>
        <v>134333.60504594451</v>
      </c>
      <c r="L41" s="335">
        <f>IF($C134=0,0,MIN($B134/$C134*$D134*0.024*$H$147,K41))</f>
        <v>82089.294326206393</v>
      </c>
      <c r="M41" s="323">
        <f>'Расчет базового уровня'!P41</f>
        <v>80552.214888283823</v>
      </c>
      <c r="N41" s="335">
        <f>IF($C134=0,0,MIN($B134/$C134*$D134*0.024*$I$147,M41))</f>
        <v>72080.870510572859</v>
      </c>
      <c r="O41" s="323">
        <f>'Расчет базового уровня'!S41</f>
        <v>78428.840848838649</v>
      </c>
      <c r="P41" s="335">
        <f>IF($C134=0,0,MIN($B134/$C134*$D134*0.024*$J$147,O41))</f>
        <v>38416.172221623681</v>
      </c>
      <c r="Q41" s="323">
        <f>'Расчет базового уровня'!V41</f>
        <v>23465.912025591002</v>
      </c>
      <c r="R41" s="335">
        <f>IF($C134=0,0,MIN($B134/$C134*$D134*0.024*$K$147,Q41))</f>
        <v>10109.519005690443</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61888.540706489424</v>
      </c>
      <c r="AB41" s="335">
        <f>IF($C134=0,0,MIN($B134/$C134*$D134*0.024*$P$147,AA41))</f>
        <v>54085.926680443874</v>
      </c>
      <c r="AC41" s="323">
        <f>'Расчет базового уровня'!AN41</f>
        <v>110966.51357885108</v>
      </c>
      <c r="AD41" s="335">
        <f>IF($C134=0,0,MIN($B134/$C134*$D134*0.024*$Q$147,AC41))</f>
        <v>83150.793821803891</v>
      </c>
      <c r="AE41" s="323">
        <f>'Расчет базового уровня'!AQ41</f>
        <v>115990.46666732906</v>
      </c>
      <c r="AF41" s="335">
        <f>IF($C134=0,0,MIN($B134/$C134*$D134*0.024*$R$147,AE41))</f>
        <v>84355.511503315342</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25">
      <c r="A42" s="307" t="s">
        <v>1339</v>
      </c>
      <c r="B42" s="304" t="s">
        <v>842</v>
      </c>
      <c r="C42" s="308"/>
      <c r="D42" s="308">
        <f>C41-D41</f>
        <v>226550.01733115804</v>
      </c>
      <c r="E42" s="74"/>
      <c r="F42" s="74"/>
      <c r="G42" s="307" t="s">
        <v>1339</v>
      </c>
      <c r="H42" s="304" t="s">
        <v>842</v>
      </c>
      <c r="I42" s="308"/>
      <c r="J42" s="308">
        <f>I41-J41</f>
        <v>31328.048981196363</v>
      </c>
      <c r="K42" s="308"/>
      <c r="L42" s="308">
        <f>K41-L41</f>
        <v>52244.310719738118</v>
      </c>
      <c r="M42" s="308"/>
      <c r="N42" s="308">
        <f>M41-N41</f>
        <v>8471.3443777109642</v>
      </c>
      <c r="O42" s="308"/>
      <c r="P42" s="308">
        <f>O41-P41</f>
        <v>40012.668627214967</v>
      </c>
      <c r="Q42" s="308"/>
      <c r="R42" s="308">
        <f>Q41-R41</f>
        <v>13356.393019900559</v>
      </c>
      <c r="S42" s="308"/>
      <c r="T42" s="308">
        <f>S41-T41</f>
        <v>0</v>
      </c>
      <c r="U42" s="308"/>
      <c r="V42" s="308">
        <f>U41-V41</f>
        <v>0</v>
      </c>
      <c r="W42" s="308"/>
      <c r="X42" s="308">
        <f>W41-X41</f>
        <v>0</v>
      </c>
      <c r="Y42" s="308"/>
      <c r="Z42" s="308">
        <f>Y41-Z41</f>
        <v>0</v>
      </c>
      <c r="AA42" s="308"/>
      <c r="AB42" s="308">
        <f>AA41-AB41</f>
        <v>7802.6140260455504</v>
      </c>
      <c r="AC42" s="308"/>
      <c r="AD42" s="308">
        <f>AC41-AD41</f>
        <v>27815.719757047191</v>
      </c>
      <c r="AE42" s="308"/>
      <c r="AF42" s="308">
        <f>AE41-AF41</f>
        <v>31634.955164013722</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x14ac:dyDescent="0.3">
      <c r="A43" s="307" t="s">
        <v>874</v>
      </c>
      <c r="B43" s="309" t="s">
        <v>1181</v>
      </c>
      <c r="C43" s="310"/>
      <c r="D43" s="310">
        <f>IF(C41=0,0,D42/C41)</f>
        <v>0.30586841766601558</v>
      </c>
      <c r="E43" s="74"/>
      <c r="F43" s="74"/>
      <c r="G43" s="307" t="s">
        <v>874</v>
      </c>
      <c r="H43" s="309" t="s">
        <v>1181</v>
      </c>
      <c r="I43" s="310"/>
      <c r="J43" s="310">
        <f>IF(I41=0,0,J42/I41)</f>
        <v>0.25855057079901961</v>
      </c>
      <c r="K43" s="310"/>
      <c r="L43" s="310">
        <f>IF(K41=0,0,L42/K41)</f>
        <v>0.38891467776711286</v>
      </c>
      <c r="M43" s="310"/>
      <c r="N43" s="310">
        <f>IF(M41=0,0,N42/M41)</f>
        <v>0.10516587767896506</v>
      </c>
      <c r="O43" s="310"/>
      <c r="P43" s="310">
        <f>IF(O41=0,0,P42/O41)</f>
        <v>0.51017799312288914</v>
      </c>
      <c r="Q43" s="310"/>
      <c r="R43" s="310">
        <f>IF(Q41=0,0,R42/Q41)</f>
        <v>0.56918277905988057</v>
      </c>
      <c r="S43" s="310"/>
      <c r="T43" s="310">
        <f>IF(S41=0,0,T42/S41)</f>
        <v>0</v>
      </c>
      <c r="U43" s="310"/>
      <c r="V43" s="310">
        <f>IF(U41=0,0,V42/U41)</f>
        <v>0</v>
      </c>
      <c r="W43" s="310"/>
      <c r="X43" s="310">
        <f>IF(W41=0,0,X42/W41)</f>
        <v>0</v>
      </c>
      <c r="Y43" s="310"/>
      <c r="Z43" s="310">
        <f>IF(Y41=0,0,Z42/Y41)</f>
        <v>0</v>
      </c>
      <c r="AA43" s="310"/>
      <c r="AB43" s="310">
        <f>IF(AA41=0,0,AB42/AA41)</f>
        <v>0.12607526267342403</v>
      </c>
      <c r="AC43" s="310"/>
      <c r="AD43" s="310">
        <f>IF(AC41=0,0,AD42/AC41)</f>
        <v>0.25066769117948157</v>
      </c>
      <c r="AE43" s="310"/>
      <c r="AF43" s="310">
        <f>IF(AE41=0,0,AF42/AE41)</f>
        <v>0.27273754536004735</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25">
      <c r="A44" s="332" t="s">
        <v>1199</v>
      </c>
      <c r="B44" s="322" t="s">
        <v>842</v>
      </c>
      <c r="C44" s="323">
        <f>'Расчет базового уровня'!D44</f>
        <v>616782.01629079785</v>
      </c>
      <c r="D44" s="333">
        <f>IF(IF(C135=0,0,B135/C135*D135)*0.024*$D$147&gt;C44,C44,IF(C135=0,0,B135/C135*D135)*0.024*$D$147)</f>
        <v>428127.87692307687</v>
      </c>
      <c r="E44" s="74"/>
      <c r="F44" s="74"/>
      <c r="G44" s="334" t="s">
        <v>1199</v>
      </c>
      <c r="H44" s="326" t="s">
        <v>842</v>
      </c>
      <c r="I44" s="323">
        <f>'Расчет базового уровня'!J44</f>
        <v>100899.74931814621</v>
      </c>
      <c r="J44" s="335">
        <f>IF($C135=0,0,MIN($B135/$C135*$D135*0.024*$G$147,I44))</f>
        <v>74812.061538461523</v>
      </c>
      <c r="K44" s="323">
        <f>'Расчет базового уровня'!M44</f>
        <v>111863.11502709634</v>
      </c>
      <c r="L44" s="335">
        <f>IF($C135=0,0,MIN($B135/$C135*$D135*0.024*$H$147,K44))</f>
        <v>68357.907692307679</v>
      </c>
      <c r="M44" s="323">
        <f>'Расчет базового уровня'!P44</f>
        <v>67077.9413435202</v>
      </c>
      <c r="N44" s="335">
        <f>IF($C135=0,0,MIN($B135/$C135*$D135*0.024*$I$147,M44))</f>
        <v>60023.630769230767</v>
      </c>
      <c r="O44" s="323">
        <f>'Расчет базового уровня'!S44</f>
        <v>65309.752107931927</v>
      </c>
      <c r="P44" s="335">
        <f>IF($C135=0,0,MIN($B135/$C135*$D135*0.024*$J$147,O44))</f>
        <v>31990.153846153844</v>
      </c>
      <c r="Q44" s="323">
        <f>'Расчет базового уровня'!V44</f>
        <v>19540.680198648897</v>
      </c>
      <c r="R44" s="335">
        <f>IF($C135=0,0,MIN($B135/$C135*$D135*0.024*$K$147,Q44))</f>
        <v>8418.4615384615372</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51536.210507723321</v>
      </c>
      <c r="AB44" s="335">
        <f>IF($C135=0,0,MIN($B135/$C135*$D135*0.024*$P$147,AA44))</f>
        <v>45038.769230769227</v>
      </c>
      <c r="AC44" s="323">
        <f>'Расчет базового уровня'!AN44</f>
        <v>92404.72529849381</v>
      </c>
      <c r="AD44" s="335">
        <f>IF($C135=0,0,MIN($B135/$C135*$D135*0.024*$Q$147,AC44))</f>
        <v>69241.846153846142</v>
      </c>
      <c r="AE44" s="323">
        <f>'Расчет базового уровня'!AQ44</f>
        <v>96588.302758764738</v>
      </c>
      <c r="AF44" s="335">
        <f>IF($C135=0,0,MIN($B135/$C135*$D135*0.024*$R$147,AE44))</f>
        <v>70245.046153846139</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25">
      <c r="A45" s="307" t="s">
        <v>1339</v>
      </c>
      <c r="B45" s="304" t="s">
        <v>842</v>
      </c>
      <c r="C45" s="308"/>
      <c r="D45" s="308">
        <f>C44-D44</f>
        <v>188654.13936772099</v>
      </c>
      <c r="E45" s="74"/>
      <c r="F45" s="74"/>
      <c r="G45" s="307" t="s">
        <v>1339</v>
      </c>
      <c r="H45" s="304" t="s">
        <v>842</v>
      </c>
      <c r="I45" s="308"/>
      <c r="J45" s="308">
        <f>I44-J44</f>
        <v>26087.687779684682</v>
      </c>
      <c r="K45" s="308"/>
      <c r="L45" s="308">
        <f>K44-L44</f>
        <v>43505.207334788662</v>
      </c>
      <c r="M45" s="308"/>
      <c r="N45" s="308">
        <f>M44-N44</f>
        <v>7054.3105742894331</v>
      </c>
      <c r="O45" s="308"/>
      <c r="P45" s="308">
        <f>O44-P44</f>
        <v>33319.598261778083</v>
      </c>
      <c r="Q45" s="308"/>
      <c r="R45" s="308">
        <f>Q44-R44</f>
        <v>11122.21866018736</v>
      </c>
      <c r="S45" s="308"/>
      <c r="T45" s="308">
        <f>S44-T44</f>
        <v>0</v>
      </c>
      <c r="U45" s="308"/>
      <c r="V45" s="308">
        <f>U44-V44</f>
        <v>0</v>
      </c>
      <c r="W45" s="308"/>
      <c r="X45" s="308">
        <f>W44-X44</f>
        <v>0</v>
      </c>
      <c r="Y45" s="308"/>
      <c r="Z45" s="308">
        <f>Y44-Z44</f>
        <v>0</v>
      </c>
      <c r="AA45" s="308"/>
      <c r="AB45" s="308">
        <f>AA44-AB44</f>
        <v>6497.4412769540941</v>
      </c>
      <c r="AC45" s="308"/>
      <c r="AD45" s="308">
        <f>AC44-AD44</f>
        <v>23162.879144647668</v>
      </c>
      <c r="AE45" s="308"/>
      <c r="AF45" s="308">
        <f>AE44-AF44</f>
        <v>26343.256604918599</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
      <c r="A46" s="307" t="s">
        <v>874</v>
      </c>
      <c r="B46" s="309" t="s">
        <v>1181</v>
      </c>
      <c r="C46" s="310"/>
      <c r="D46" s="310">
        <f>IF(C44=0,0,D45/C44)</f>
        <v>0.30586841766601558</v>
      </c>
      <c r="E46" s="74"/>
      <c r="F46" s="74"/>
      <c r="G46" s="307" t="s">
        <v>874</v>
      </c>
      <c r="H46" s="309" t="s">
        <v>1181</v>
      </c>
      <c r="I46" s="310"/>
      <c r="J46" s="310">
        <f>IF(I44=0,0,J45/I44)</f>
        <v>0.2585505707990195</v>
      </c>
      <c r="K46" s="310"/>
      <c r="L46" s="310">
        <f>IF(K44=0,0,L45/K44)</f>
        <v>0.38891467776711292</v>
      </c>
      <c r="M46" s="310"/>
      <c r="N46" s="310">
        <f>IF(M44=0,0,N45/M44)</f>
        <v>0.10516587767896497</v>
      </c>
      <c r="O46" s="310"/>
      <c r="P46" s="310">
        <f>IF(O44=0,0,P45/O44)</f>
        <v>0.51017799312288903</v>
      </c>
      <c r="Q46" s="310"/>
      <c r="R46" s="310">
        <f>IF(Q44=0,0,R45/Q44)</f>
        <v>0.56918277905988068</v>
      </c>
      <c r="S46" s="310"/>
      <c r="T46" s="310">
        <f>IF(S44=0,0,T45/S44)</f>
        <v>0</v>
      </c>
      <c r="U46" s="310"/>
      <c r="V46" s="310">
        <f>IF(U44=0,0,V45/U44)</f>
        <v>0</v>
      </c>
      <c r="W46" s="310"/>
      <c r="X46" s="310">
        <f>IF(W44=0,0,X45/W44)</f>
        <v>0</v>
      </c>
      <c r="Y46" s="310"/>
      <c r="Z46" s="310">
        <f>IF(Y44=0,0,Z45/Y44)</f>
        <v>0</v>
      </c>
      <c r="AA46" s="310"/>
      <c r="AB46" s="310">
        <f>IF(AA44=0,0,AB45/AA44)</f>
        <v>0.12607526267342403</v>
      </c>
      <c r="AC46" s="310"/>
      <c r="AD46" s="310">
        <f>IF(AC44=0,0,AD45/AC44)</f>
        <v>0.25066769117948151</v>
      </c>
      <c r="AE46" s="310"/>
      <c r="AF46" s="310">
        <f>IF(AE44=0,0,AF45/AE44)</f>
        <v>0.27273754536004752</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25">
      <c r="A47" s="332" t="s">
        <v>1201</v>
      </c>
      <c r="B47" s="322" t="s">
        <v>842</v>
      </c>
      <c r="C47" s="323">
        <f>'Расчет базового уровня'!D47</f>
        <v>108697.11884632021</v>
      </c>
      <c r="D47" s="333">
        <f>IF(IF(C136=0,0,B136/C136*D136)*0.024*$D$147&gt;C47,C47,IF(C136=0,0,B136/C136*D136)*0.024*$D$147)</f>
        <v>69570.78</v>
      </c>
      <c r="E47" s="74"/>
      <c r="F47" s="74"/>
      <c r="G47" s="334" t="s">
        <v>1201</v>
      </c>
      <c r="H47" s="326" t="s">
        <v>842</v>
      </c>
      <c r="I47" s="323">
        <f>'Расчет базового уровня'!J47</f>
        <v>16396.209264198762</v>
      </c>
      <c r="J47" s="335">
        <f>IF($C136=0,0,MIN($B136/$C136*$D136*0.024*$G$147,I47))</f>
        <v>12156.96</v>
      </c>
      <c r="K47" s="323">
        <f>'Расчет базового уровня'!M47</f>
        <v>18177.756191903158</v>
      </c>
      <c r="L47" s="335">
        <f>IF($C136=0,0,MIN($B136/$C136*$D136*0.024*$H$147,K47))</f>
        <v>11108.159999999998</v>
      </c>
      <c r="M47" s="323">
        <f>'Расчет базового уровня'!P47</f>
        <v>10900.165468322033</v>
      </c>
      <c r="N47" s="335">
        <f>IF($C136=0,0,MIN($B136/$C136*$D136*0.024*$I$147,M47))</f>
        <v>9753.84</v>
      </c>
      <c r="O47" s="323">
        <f>'Расчет базового уровня'!S47</f>
        <v>10612.834717538939</v>
      </c>
      <c r="P47" s="335">
        <f>IF($C136=0,0,MIN($B136/$C136*$D136*0.024*$J$147,O47))</f>
        <v>5198.4000000000005</v>
      </c>
      <c r="Q47" s="323">
        <f>'Расчет базового уровня'!V47</f>
        <v>3175.360532280446</v>
      </c>
      <c r="R47" s="335">
        <f>IF($C136=0,0,MIN($B136/$C136*$D136*0.024*$K$147,Q47))</f>
        <v>1368</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8374.6342075050397</v>
      </c>
      <c r="AB47" s="335">
        <f>IF($C136=0,0,MIN($B136/$C136*$D136*0.024*$P$147,AA47))</f>
        <v>7318.8</v>
      </c>
      <c r="AC47" s="323">
        <f>'Расчет базового уровня'!AN47</f>
        <v>15015.767861005248</v>
      </c>
      <c r="AD47" s="335">
        <f>IF($C136=0,0,MIN($B136/$C136*$D136*0.024*$Q$147,AC47))</f>
        <v>11251.800000000001</v>
      </c>
      <c r="AE47" s="323">
        <f>'Расчет базового уровня'!AQ47</f>
        <v>15695.599198299273</v>
      </c>
      <c r="AF47" s="335">
        <f>IF($C136=0,0,MIN($B136/$C136*$D136*0.024*$R$147,AE47))</f>
        <v>11414.82</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25">
      <c r="A48" s="307" t="s">
        <v>1339</v>
      </c>
      <c r="B48" s="304" t="s">
        <v>842</v>
      </c>
      <c r="C48" s="308"/>
      <c r="D48" s="308">
        <f>C47-D47</f>
        <v>39126.338846320214</v>
      </c>
      <c r="E48" s="74"/>
      <c r="F48" s="74"/>
      <c r="G48" s="307" t="s">
        <v>1339</v>
      </c>
      <c r="H48" s="304" t="s">
        <v>842</v>
      </c>
      <c r="I48" s="308"/>
      <c r="J48" s="308">
        <f>I47-J47</f>
        <v>4239.2492641987628</v>
      </c>
      <c r="K48" s="308"/>
      <c r="L48" s="308">
        <f>K47-L47</f>
        <v>7069.5961919031597</v>
      </c>
      <c r="M48" s="308"/>
      <c r="N48" s="308">
        <f>M47-N47</f>
        <v>1146.325468322033</v>
      </c>
      <c r="O48" s="308"/>
      <c r="P48" s="308">
        <f>O47-P47</f>
        <v>5414.4347175389385</v>
      </c>
      <c r="Q48" s="308"/>
      <c r="R48" s="308">
        <f>Q47-R47</f>
        <v>1807.360532280446</v>
      </c>
      <c r="S48" s="308"/>
      <c r="T48" s="308">
        <f>S47-T47</f>
        <v>0</v>
      </c>
      <c r="U48" s="308"/>
      <c r="V48" s="308">
        <f>U47-V47</f>
        <v>0</v>
      </c>
      <c r="W48" s="308"/>
      <c r="X48" s="308">
        <f>W47-X47</f>
        <v>0</v>
      </c>
      <c r="Y48" s="308"/>
      <c r="Z48" s="308">
        <f>Y47-Z47</f>
        <v>0</v>
      </c>
      <c r="AA48" s="308"/>
      <c r="AB48" s="308">
        <f>AA47-AB47</f>
        <v>1055.8342075050396</v>
      </c>
      <c r="AC48" s="308"/>
      <c r="AD48" s="308">
        <f>AC47-AD47</f>
        <v>3763.967861005247</v>
      </c>
      <c r="AE48" s="308"/>
      <c r="AF48" s="308">
        <f>AE47-AF47</f>
        <v>4280.779198299273</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
      <c r="A49" s="307" t="s">
        <v>874</v>
      </c>
      <c r="B49" s="309" t="s">
        <v>1181</v>
      </c>
      <c r="C49" s="310"/>
      <c r="D49" s="310">
        <f>IF(C47=0,0,D48/C47)</f>
        <v>0.35995746034113746</v>
      </c>
      <c r="E49" s="74"/>
      <c r="F49" s="74"/>
      <c r="G49" s="307" t="s">
        <v>874</v>
      </c>
      <c r="H49" s="309" t="s">
        <v>1181</v>
      </c>
      <c r="I49" s="310"/>
      <c r="J49" s="310">
        <f>IF(I47=0,0,J48/I47)</f>
        <v>0.25855057079901961</v>
      </c>
      <c r="K49" s="310"/>
      <c r="L49" s="310">
        <f>IF(K47=0,0,L48/K47)</f>
        <v>0.38891467776711303</v>
      </c>
      <c r="M49" s="310"/>
      <c r="N49" s="310">
        <f>IF(M47=0,0,N48/M47)</f>
        <v>0.10516587767896499</v>
      </c>
      <c r="O49" s="310"/>
      <c r="P49" s="310">
        <f>IF(O47=0,0,P48/O47)</f>
        <v>0.51017799312288903</v>
      </c>
      <c r="Q49" s="310"/>
      <c r="R49" s="310">
        <f>IF(Q47=0,0,R48/Q47)</f>
        <v>0.56918277905988057</v>
      </c>
      <c r="S49" s="310"/>
      <c r="T49" s="310">
        <f>IF(S47=0,0,T48/S47)</f>
        <v>0</v>
      </c>
      <c r="U49" s="310"/>
      <c r="V49" s="310">
        <f>IF(U47=0,0,V48/U47)</f>
        <v>0</v>
      </c>
      <c r="W49" s="310"/>
      <c r="X49" s="310">
        <f>IF(W47=0,0,X48/W47)</f>
        <v>0</v>
      </c>
      <c r="Y49" s="310"/>
      <c r="Z49" s="310">
        <f>IF(Y47=0,0,Z48/Y47)</f>
        <v>0</v>
      </c>
      <c r="AA49" s="310"/>
      <c r="AB49" s="310">
        <f>IF(AA47=0,0,AB48/AA47)</f>
        <v>0.12607526267342395</v>
      </c>
      <c r="AC49" s="310"/>
      <c r="AD49" s="310">
        <f>IF(AC47=0,0,AD48/AC47)</f>
        <v>0.25066769117948151</v>
      </c>
      <c r="AE49" s="310"/>
      <c r="AF49" s="310">
        <f>IF(AE47=0,0,AF48/AE47)</f>
        <v>0.27273754536004752</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25">
      <c r="A50" s="332" t="s">
        <v>1589</v>
      </c>
      <c r="B50" s="322" t="s">
        <v>842</v>
      </c>
      <c r="C50" s="323">
        <f>'Расчет базового уровня'!D50</f>
        <v>108697.11884632021</v>
      </c>
      <c r="D50" s="333">
        <f>IF(IF(C137=0,0,B137/C137*D137)*0.024*$D$147&gt;C50,C50,IF(C137=0,0,B137/C137*D137)*0.024*$D$147)</f>
        <v>69570.78</v>
      </c>
      <c r="E50" s="74"/>
      <c r="F50" s="74"/>
      <c r="G50" s="332" t="s">
        <v>1589</v>
      </c>
      <c r="H50" s="326" t="s">
        <v>842</v>
      </c>
      <c r="I50" s="323">
        <f>'Расчет базового уровня'!J50</f>
        <v>16396.209264198762</v>
      </c>
      <c r="J50" s="335">
        <f>IF($C137=0,0,MIN($B137/$C137*$D137*0.024*$G$147,I50))</f>
        <v>12156.96</v>
      </c>
      <c r="K50" s="323">
        <f>'Расчет базового уровня'!M50</f>
        <v>18177.756191903158</v>
      </c>
      <c r="L50" s="335">
        <f>IF($C137=0,0,MIN($B137/$C137*$D137*0.024*$H$147,K50))</f>
        <v>11108.159999999998</v>
      </c>
      <c r="M50" s="323">
        <f>'Расчет базового уровня'!P50</f>
        <v>10900.165468322033</v>
      </c>
      <c r="N50" s="335">
        <f>IF($C137=0,0,MIN($B137/$C137*$D137*0.024*$I$147,M50))</f>
        <v>9753.84</v>
      </c>
      <c r="O50" s="323">
        <f>'Расчет базового уровня'!S50</f>
        <v>10612.834717538939</v>
      </c>
      <c r="P50" s="335">
        <f>IF($C137=0,0,MIN($B137/$C137*$D137*0.024*$J$147,O50))</f>
        <v>5198.4000000000005</v>
      </c>
      <c r="Q50" s="323">
        <f>'Расчет базового уровня'!V50</f>
        <v>3175.360532280446</v>
      </c>
      <c r="R50" s="335">
        <f>IF($C137=0,0,MIN($B137/$C137*$D137*0.024*$K$147,Q50))</f>
        <v>1368</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8374.6342075050397</v>
      </c>
      <c r="AB50" s="335">
        <f>IF($C137=0,0,MIN($B137/$C137*$D137*0.024*$P$147,AA50))</f>
        <v>7318.8</v>
      </c>
      <c r="AC50" s="323">
        <f>'Расчет базового уровня'!AN50</f>
        <v>15015.767861005248</v>
      </c>
      <c r="AD50" s="335">
        <f>IF($C137=0,0,MIN($B137/$C137*$D137*0.024*$Q$147,AC50))</f>
        <v>11251.800000000001</v>
      </c>
      <c r="AE50" s="323">
        <f>'Расчет базового уровня'!AQ50</f>
        <v>15695.599198299273</v>
      </c>
      <c r="AF50" s="335">
        <f>IF($C137=0,0,MIN($B137/$C137*$D137*0.024*$R$147,AE50))</f>
        <v>11414.82</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25">
      <c r="A51" s="307" t="s">
        <v>1339</v>
      </c>
      <c r="B51" s="304" t="s">
        <v>842</v>
      </c>
      <c r="C51" s="308"/>
      <c r="D51" s="308">
        <f>C50-D50</f>
        <v>39126.338846320214</v>
      </c>
      <c r="E51" s="74"/>
      <c r="F51" s="74"/>
      <c r="G51" s="307" t="s">
        <v>1339</v>
      </c>
      <c r="H51" s="304" t="s">
        <v>842</v>
      </c>
      <c r="I51" s="308"/>
      <c r="J51" s="308">
        <f>I50-J50</f>
        <v>4239.2492641987628</v>
      </c>
      <c r="K51" s="308"/>
      <c r="L51" s="308">
        <f>K50-L50</f>
        <v>7069.5961919031597</v>
      </c>
      <c r="M51" s="308"/>
      <c r="N51" s="308">
        <f>M50-N50</f>
        <v>1146.325468322033</v>
      </c>
      <c r="O51" s="308"/>
      <c r="P51" s="308">
        <f>O50-P50</f>
        <v>5414.4347175389385</v>
      </c>
      <c r="Q51" s="308"/>
      <c r="R51" s="308">
        <f>Q50-R50</f>
        <v>1807.360532280446</v>
      </c>
      <c r="S51" s="308"/>
      <c r="T51" s="308">
        <f>S50-T50</f>
        <v>0</v>
      </c>
      <c r="U51" s="308"/>
      <c r="V51" s="308">
        <f>U50-V50</f>
        <v>0</v>
      </c>
      <c r="W51" s="308"/>
      <c r="X51" s="308">
        <f>W50-X50</f>
        <v>0</v>
      </c>
      <c r="Y51" s="308"/>
      <c r="Z51" s="308">
        <f>Y50-Z50</f>
        <v>0</v>
      </c>
      <c r="AA51" s="308"/>
      <c r="AB51" s="308">
        <f>AA50-AB50</f>
        <v>1055.8342075050396</v>
      </c>
      <c r="AC51" s="308"/>
      <c r="AD51" s="308">
        <f>AC50-AD50</f>
        <v>3763.967861005247</v>
      </c>
      <c r="AE51" s="308"/>
      <c r="AF51" s="308">
        <f>AE50-AF50</f>
        <v>4280.779198299273</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
      <c r="A52" s="307" t="s">
        <v>874</v>
      </c>
      <c r="B52" s="309" t="s">
        <v>1181</v>
      </c>
      <c r="C52" s="310"/>
      <c r="D52" s="310">
        <f>IF(C50=0,0,D51/C50)</f>
        <v>0.35995746034113746</v>
      </c>
      <c r="E52" s="74"/>
      <c r="F52" s="74"/>
      <c r="G52" s="307" t="s">
        <v>874</v>
      </c>
      <c r="H52" s="309" t="s">
        <v>1181</v>
      </c>
      <c r="I52" s="310"/>
      <c r="J52" s="310">
        <f>IF(I50=0,0,J51/I50)</f>
        <v>0.25855057079901961</v>
      </c>
      <c r="K52" s="310"/>
      <c r="L52" s="310">
        <f>IF(K50=0,0,L51/K50)</f>
        <v>0.38891467776711303</v>
      </c>
      <c r="M52" s="310"/>
      <c r="N52" s="310">
        <f>IF(M50=0,0,N51/M50)</f>
        <v>0.10516587767896499</v>
      </c>
      <c r="O52" s="310"/>
      <c r="P52" s="310">
        <f>IF(O50=0,0,P51/O50)</f>
        <v>0.51017799312288903</v>
      </c>
      <c r="Q52" s="310"/>
      <c r="R52" s="310">
        <f>IF(Q50=0,0,R51/Q50)</f>
        <v>0.56918277905988057</v>
      </c>
      <c r="S52" s="310"/>
      <c r="T52" s="310">
        <f>IF(S50=0,0,T51/S50)</f>
        <v>0</v>
      </c>
      <c r="U52" s="310"/>
      <c r="V52" s="310">
        <f>IF(U50=0,0,V51/U50)</f>
        <v>0</v>
      </c>
      <c r="W52" s="310"/>
      <c r="X52" s="310">
        <f>IF(W50=0,0,X51/W50)</f>
        <v>0</v>
      </c>
      <c r="Y52" s="310"/>
      <c r="Z52" s="310">
        <f>IF(Y50=0,0,Z51/Y50)</f>
        <v>0</v>
      </c>
      <c r="AA52" s="310"/>
      <c r="AB52" s="310">
        <f>IF(AA50=0,0,AB51/AA50)</f>
        <v>0.12607526267342395</v>
      </c>
      <c r="AC52" s="310"/>
      <c r="AD52" s="310">
        <f>IF(AC50=0,0,AD51/AC50)</f>
        <v>0.25066769117948151</v>
      </c>
      <c r="AE52" s="310"/>
      <c r="AF52" s="310">
        <f>IF(AE50=0,0,AF51/AE50)</f>
        <v>0.27273754536004752</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25">
      <c r="A53" s="332" t="s">
        <v>1203</v>
      </c>
      <c r="B53" s="322" t="s">
        <v>842</v>
      </c>
      <c r="C53" s="323">
        <f>'Расчет базового уровня'!D53</f>
        <v>11439.084580072025</v>
      </c>
      <c r="D53" s="333">
        <f>IF((IF(C138=0,0,B138/C138*D138)+IF(C139=0,0,B139/C139*D139)+IF(C140=0,0,B140/C140*D140))*0.024*$D$147&gt;C53,C53,(IF(C138=0,0,B138/C138*D138)+IF(C139=0,0,B139/C139*D139)+IF(C140=0,0,B140/C140*D140))*0.024*$D$147)</f>
        <v>11439.084580072025</v>
      </c>
      <c r="E53" s="74"/>
      <c r="F53" s="74"/>
      <c r="G53" s="334" t="s">
        <v>1203</v>
      </c>
      <c r="H53" s="326" t="s">
        <v>842</v>
      </c>
      <c r="I53" s="323">
        <f>'Расчет базового уровня'!J53</f>
        <v>1871.3268806043807</v>
      </c>
      <c r="J53" s="335">
        <f>IF((IF(C138=0,0,B138/C138*D138)+IF(C139=0,0,B139/C139*D139)+IF(C140=0,0,B140/C140*D140))*0.024*G$147&gt;I53,I53,(IF(C138=0,0,B138/C138*D138)+IF(C139=0,0,B139/C139*D139)+IF(C140=0,0,B140/C140*D140))*0.024*G$147)</f>
        <v>1871.3268806043807</v>
      </c>
      <c r="K53" s="323">
        <f>'Расчет базового уровня'!M53</f>
        <v>2074.6578213817033</v>
      </c>
      <c r="L53" s="335">
        <f>IF((IF($C$138=0,0,$B$138/$C$138*$D$138)+IF($C$139=0,0,$B$139/$C$139*$D$139)+IF($C$140=0,0,$B$140/$C$140*$D$140))*0.024*$H$147&gt;K53,K53,(IF($C$138=0,0,$B$138/$C$138*$D$138)+IF($C$139=0,0,$B$139/$C$139*$D$139)+IF($C$140=0,0,$B$140/$C$140*$D$140))*0.024*$H$147)</f>
        <v>2074.6578213817033</v>
      </c>
      <c r="M53" s="323">
        <f>'Расчет базового уровня'!P53</f>
        <v>1244.0541783304352</v>
      </c>
      <c r="N53" s="335">
        <f>IF((IF($C$138=0,0,$B$138/$C$138*$D$138)+IF($C$139=0,0,$B$139/$C$139*$D$139)+IF($C$140=0,0,$B$140/$C$140*$D$140))*0.024*$I$147&gt;M53,M53,(IF($C$138=0,0,$B$138/$C$138*$D$138)+IF($C$139=0,0,$B$139/$C$139*$D$139)+IF($C$140=0,0,$B$140/$C$140*$D$140))*0.024*$I$147)</f>
        <v>1244.0541783304352</v>
      </c>
      <c r="O53" s="323">
        <f>'Расчет базового уровня'!S53</f>
        <v>1211.2606375247142</v>
      </c>
      <c r="P53" s="335">
        <f>IF((IF($C$138=0,0,$B$138/$C$138*$D$138)+IF($C$139=0,0,$B$139/$C$139*$D$139)+IF($C$140=0,0,$B$140/$C$140*$D$140))*0.024*$J$147&gt;O53,O53,(IF($C$138=0,0,$B$138/$C$138*$D$138)+IF($C$139=0,0,$B$139/$C$139*$D$139)+IF($C$140=0,0,$B$140/$C$140*$D$140))*0.024*$J$147)</f>
        <v>1211.2606375247142</v>
      </c>
      <c r="Q53" s="323">
        <f>'Расчет базового уровня'!V53</f>
        <v>362.40922666444209</v>
      </c>
      <c r="R53" s="335">
        <f>IF((IF($C$138=0,0,$B$138/$C$138*$D$138)+IF($C$139=0,0,$B$139/$C$139*$D$139)+IF($C$140=0,0,$B$140/$C$140*$D$140))*0.024*$K$147&gt;Q53,Q53,(IF($C$138=0,0,$B$138/$C$138*$D$138)+IF($C$139=0,0,$B$139/$C$139*$D$139)+IF($C$140=0,0,$B$140/$C$140*$D$140))*0.024*$K$147)</f>
        <v>362.40922666444209</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955.81105700769308</v>
      </c>
      <c r="AB53" s="335">
        <f>IF((IF($C$138=0,0,$B$138/$C$138*$D$138)+IF($C$139=0,0,$B$139/$C$139*$D$139)+IF($C$140=0,0,$B$140/$C$140*$D$140))*0.024*$P$147&gt;AA53,AA53,(IF($C$138=0,0,$B$138/$C$138*$D$138)+IF($C$139=0,0,$B$139/$C$139*$D$139)+IF($C$140=0,0,$B$140/$C$140*$D$140))*0.024*$P$147)</f>
        <v>955.81105700769308</v>
      </c>
      <c r="AC53" s="323">
        <f>'Расчет базового уровня'!AN53</f>
        <v>1713.7747865032272</v>
      </c>
      <c r="AD53" s="335">
        <f>IF((IF($C$138=0,0,$B$138/$C$138*$D$138)+IF($C$139=0,0,$B$139/$C$139*$D$139)+IF($C$140=0,0,$B$140/$C$140*$D$140))*0.024*$Q$147&gt;AC53,AC53,(IF($C$138=0,0,$B$138/$C$138*$D$138)+IF($C$139=0,0,$B$139/$C$139*$D$139)+IF($C$140=0,0,$B$140/$C$140*$D$140))*0.024*$Q$147)</f>
        <v>1713.7747865032272</v>
      </c>
      <c r="AE53" s="323">
        <f>'Расчет базового уровня'!AQ53</f>
        <v>1791.365077969765</v>
      </c>
      <c r="AF53" s="335">
        <f>IF((IF($C$138=0,0,$B$138/$C$138*$D$138)+IF($C$139=0,0,$B$139/$C$139*$D$139)+IF($C$140=0,0,$B$140/$C$140*$D$140))*0.024*$R$147&gt;AE53,AE53,(IF($C$138=0,0,$B$138/$C$138*$D$138)+IF($C$139=0,0,$B$139/$C$139*$D$139)+IF($C$140=0,0,$B$140/$C$140*$D$140))*0.024*$R$147)</f>
        <v>1791.365077969765</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25">
      <c r="A54" s="307" t="s">
        <v>1339</v>
      </c>
      <c r="B54" s="304" t="s">
        <v>842</v>
      </c>
      <c r="C54" s="308"/>
      <c r="D54" s="308">
        <f>C53-D53</f>
        <v>0</v>
      </c>
      <c r="E54" s="74"/>
      <c r="F54" s="74"/>
      <c r="G54" s="307" t="s">
        <v>1339</v>
      </c>
      <c r="H54" s="304" t="s">
        <v>842</v>
      </c>
      <c r="I54" s="308"/>
      <c r="J54" s="308">
        <f>I53-J53</f>
        <v>0</v>
      </c>
      <c r="K54" s="308"/>
      <c r="L54" s="308">
        <f>K53-L53</f>
        <v>0</v>
      </c>
      <c r="M54" s="308"/>
      <c r="N54" s="308">
        <f>M53-N53</f>
        <v>0</v>
      </c>
      <c r="O54" s="308"/>
      <c r="P54" s="308">
        <f>O53-P53</f>
        <v>0</v>
      </c>
      <c r="Q54" s="308"/>
      <c r="R54" s="308">
        <f>Q53-R53</f>
        <v>0</v>
      </c>
      <c r="S54" s="308"/>
      <c r="T54" s="308">
        <f>S53-T53</f>
        <v>0</v>
      </c>
      <c r="U54" s="308"/>
      <c r="V54" s="308">
        <f>U53-V53</f>
        <v>0</v>
      </c>
      <c r="W54" s="308"/>
      <c r="X54" s="308">
        <f>W53-X53</f>
        <v>0</v>
      </c>
      <c r="Y54" s="308"/>
      <c r="Z54" s="308">
        <f>Y53-Z53</f>
        <v>0</v>
      </c>
      <c r="AA54" s="308"/>
      <c r="AB54" s="308">
        <f>AA53-AB53</f>
        <v>0</v>
      </c>
      <c r="AC54" s="308"/>
      <c r="AD54" s="308">
        <f>AC53-AD53</f>
        <v>0</v>
      </c>
      <c r="AE54" s="308"/>
      <c r="AF54" s="308">
        <f>AE53-AF53</f>
        <v>0</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x14ac:dyDescent="0.3">
      <c r="A55" s="307" t="s">
        <v>874</v>
      </c>
      <c r="B55" s="309" t="s">
        <v>1181</v>
      </c>
      <c r="C55" s="310"/>
      <c r="D55" s="310">
        <f>IF(C53=0,0,D54/C53)</f>
        <v>0</v>
      </c>
      <c r="E55" s="74"/>
      <c r="F55" s="74"/>
      <c r="G55" s="307" t="s">
        <v>874</v>
      </c>
      <c r="H55" s="309" t="s">
        <v>1181</v>
      </c>
      <c r="I55" s="310"/>
      <c r="J55" s="310">
        <f>IF(I53=0,0,J54/I53)</f>
        <v>0</v>
      </c>
      <c r="K55" s="310"/>
      <c r="L55" s="310">
        <f>IF(K53=0,0,L54/K53)</f>
        <v>0</v>
      </c>
      <c r="M55" s="310"/>
      <c r="N55" s="310">
        <f>IF(M53=0,0,N54/M53)</f>
        <v>0</v>
      </c>
      <c r="O55" s="310"/>
      <c r="P55" s="310">
        <f>IF(O53=0,0,P54/O53)</f>
        <v>0</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0</v>
      </c>
      <c r="AE55" s="310"/>
      <c r="AF55" s="310">
        <f>IF(AE53=0,0,AF54/AE53)</f>
        <v>0</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25">
      <c r="A56" s="332" t="s">
        <v>1204</v>
      </c>
      <c r="B56" s="322" t="s">
        <v>842</v>
      </c>
      <c r="C56" s="323">
        <f>'Расчет базового уровня'!D56</f>
        <v>51473.540372071242</v>
      </c>
      <c r="D56" s="333">
        <f>IF((IF(C142=0,0,B142/C142*D142)+IF(C141=0,0,B141/C141*D141))*0.024*$D$147&gt;C56,C56,(IF(C142=0,0,B142/C142*D142)+IF(C141=0,0,B141/C141*D141))*0.024*$D$147)</f>
        <v>35729.410026798039</v>
      </c>
      <c r="E56" s="74"/>
      <c r="F56" s="74"/>
      <c r="G56" s="334" t="s">
        <v>1204</v>
      </c>
      <c r="H56" s="326" t="s">
        <v>842</v>
      </c>
      <c r="I56" s="323">
        <f>'Расчет базового уровня'!J56</f>
        <v>8420.5881217048591</v>
      </c>
      <c r="J56" s="335">
        <f>IF((IF($C$142=0,0,$B$142/$C$142*$D$142)+IF($C$141=0,0,$B$141/$C$141*$D$141))*0.024*$G$147&gt;I56,I56,(IF($C$142=0,0,$B$142/$C$142*$D$142)+IF($C$141=0,0,$B$141/$C$141*$D$141))*0.024*$G$147)</f>
        <v>6243.4402563746253</v>
      </c>
      <c r="K56" s="323">
        <f>'Расчет базового уровня'!M56</f>
        <v>9335.5357572198391</v>
      </c>
      <c r="L56" s="335">
        <f>IF((IF($C$142=0,0,$B$142/$C$142*$D$142)+IF($C$141=0,0,$B$141/$C$141*$D$141))*0.024*$H$147&gt;K56,K56,(IF($C$142=0,0,$B$142/$C$142*$D$142)+IF($C$141=0,0,$B$141/$C$141*$D$141))*0.024*$H$147)</f>
        <v>5704.8088764173244</v>
      </c>
      <c r="M56" s="323">
        <f>'Расчет базового уровня'!P56</f>
        <v>5597.9892905846827</v>
      </c>
      <c r="N56" s="335">
        <f>IF((IF($C$142=0,0,$B$142/$C$142*$D$142)+IF($C$141=0,0,$B$141/$C$141*$D$141))*0.024*$I$147&gt;M56,M56,(IF($C$142=0,0,$B$142/$C$142*$D$142)+IF($C$141=0,0,$B$141/$C$141*$D$141))*0.024*$I$147)</f>
        <v>5009.2718336028975</v>
      </c>
      <c r="O56" s="323">
        <f>'Расчет базового уровня'!S56</f>
        <v>5450.4250659484642</v>
      </c>
      <c r="P56" s="335">
        <f>IF((IF($C$142=0,0,$B$142/$C$142*$D$142)+IF($C$141=0,0,$B$141/$C$141*$D$141))*0.024*$J$147&gt;O56,O56,(IF($C$142=0,0,$B$142/$C$142*$D$142)+IF($C$141=0,0,$B$141/$C$141*$D$141))*0.024*$J$147)</f>
        <v>2669.7381441361867</v>
      </c>
      <c r="Q56" s="323">
        <f>'Расчет базового уровня'!V56</f>
        <v>1630.7673773495098</v>
      </c>
      <c r="R56" s="335">
        <f>IF((IF($C$142=0,0,$B$142/$C$142*$D$142)+IF($C$141=0,0,$B$141/$C$141*$D$141))*0.024*$K$147&gt;Q56,Q56,(IF($C$142=0,0,$B$142/$C$142*$D$142)+IF($C$141=0,0,$B$141/$C$141*$D$141))*0.024*$K$147)</f>
        <v>702.56266950952272</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4300.9542141743477</v>
      </c>
      <c r="AB56" s="335">
        <f>IF((IF($C$142=0,0,$B$142/$C$142*$D$142)+IF($C$141=0,0,$B$141/$C$141*$D$141))*0.024*$P$147&gt;AA56,AA56,(IF($C$142=0,0,$B$142/$C$142*$D$142)+IF($C$141=0,0,$B$141/$C$141*$D$141))*0.024*$P$147)</f>
        <v>3758.7102818759467</v>
      </c>
      <c r="AC56" s="323">
        <f>'Расчет базового уровня'!AN56</f>
        <v>7711.6359306748118</v>
      </c>
      <c r="AD56" s="335">
        <f>IF((IF($C$142=0,0,$B$142/$C$142*$D$142)+IF($C$141=0,0,$B$141/$C$141*$D$141))*0.024*$Q$147&gt;AC56,AC56,(IF($C$142=0,0,$B$142/$C$142*$D$142)+IF($C$141=0,0,$B$141/$C$141*$D$141))*0.024*$Q$147)</f>
        <v>5778.5779567158252</v>
      </c>
      <c r="AE56" s="323">
        <f>'Расчет базового уровня'!AQ56</f>
        <v>8060.7763686466824</v>
      </c>
      <c r="AF56" s="335">
        <f>IF((IF($C$142=0,0,$B$142/$C$142*$D$142)+IF($C$141=0,0,$B$141/$C$141*$D$141))*0.024*$R$147&gt;AE56,AE56,(IF($C$142=0,0,$B$142/$C$142*$D$142)+IF($C$141=0,0,$B$141/$C$141*$D$141))*0.024*$R$147)</f>
        <v>5862.3000081657092</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25">
      <c r="A57" s="307" t="s">
        <v>1339</v>
      </c>
      <c r="B57" s="304" t="s">
        <v>842</v>
      </c>
      <c r="C57" s="308"/>
      <c r="D57" s="308">
        <f>C56-D56</f>
        <v>15744.130345273203</v>
      </c>
      <c r="E57" s="74"/>
      <c r="F57" s="74"/>
      <c r="G57" s="307" t="s">
        <v>1339</v>
      </c>
      <c r="H57" s="304" t="s">
        <v>842</v>
      </c>
      <c r="I57" s="308"/>
      <c r="J57" s="308">
        <f>I56-J56</f>
        <v>2177.1478653302338</v>
      </c>
      <c r="K57" s="308"/>
      <c r="L57" s="308">
        <f>K56-L56</f>
        <v>3630.7268808025146</v>
      </c>
      <c r="M57" s="308"/>
      <c r="N57" s="308">
        <f>M56-N56</f>
        <v>588.71745698178529</v>
      </c>
      <c r="O57" s="308"/>
      <c r="P57" s="308">
        <f>O56-P56</f>
        <v>2780.6869218122774</v>
      </c>
      <c r="Q57" s="308"/>
      <c r="R57" s="308">
        <f>Q56-R56</f>
        <v>928.20470783998712</v>
      </c>
      <c r="S57" s="308"/>
      <c r="T57" s="308">
        <f>S56-T56</f>
        <v>0</v>
      </c>
      <c r="U57" s="308"/>
      <c r="V57" s="308">
        <f>U56-V56</f>
        <v>0</v>
      </c>
      <c r="W57" s="308"/>
      <c r="X57" s="308">
        <f>W56-X56</f>
        <v>0</v>
      </c>
      <c r="Y57" s="308"/>
      <c r="Z57" s="308">
        <f>Y56-Z56</f>
        <v>0</v>
      </c>
      <c r="AA57" s="308"/>
      <c r="AB57" s="308">
        <f>AA56-AB56</f>
        <v>542.24393229840098</v>
      </c>
      <c r="AC57" s="308"/>
      <c r="AD57" s="308">
        <f>AC56-AD56</f>
        <v>1933.0579739589866</v>
      </c>
      <c r="AE57" s="308"/>
      <c r="AF57" s="308">
        <f>AE56-AF56</f>
        <v>2198.4763604809732</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x14ac:dyDescent="0.3">
      <c r="A58" s="307" t="s">
        <v>874</v>
      </c>
      <c r="B58" s="309" t="s">
        <v>1181</v>
      </c>
      <c r="C58" s="310"/>
      <c r="D58" s="310">
        <f>IF(C56=0,0,D57/C56)</f>
        <v>0.30586841766601558</v>
      </c>
      <c r="E58" s="74"/>
      <c r="F58" s="74"/>
      <c r="G58" s="307" t="s">
        <v>874</v>
      </c>
      <c r="H58" s="309" t="s">
        <v>1181</v>
      </c>
      <c r="I58" s="310"/>
      <c r="J58" s="310">
        <f>IF(I56=0,0,J57/I56)</f>
        <v>0.25855057079901939</v>
      </c>
      <c r="K58" s="310"/>
      <c r="L58" s="310">
        <f>IF(K56=0,0,L57/K56)</f>
        <v>0.38891467776711297</v>
      </c>
      <c r="M58" s="310"/>
      <c r="N58" s="310">
        <f>IF(M56=0,0,N57/M56)</f>
        <v>0.10516587767896508</v>
      </c>
      <c r="O58" s="310"/>
      <c r="P58" s="310">
        <f>IF(O56=0,0,P57/O56)</f>
        <v>0.51017799312288903</v>
      </c>
      <c r="Q58" s="310"/>
      <c r="R58" s="310">
        <f>IF(Q56=0,0,R57/Q56)</f>
        <v>0.56918277905988068</v>
      </c>
      <c r="S58" s="310"/>
      <c r="T58" s="310">
        <f>IF(S56=0,0,T57/S56)</f>
        <v>0</v>
      </c>
      <c r="U58" s="310"/>
      <c r="V58" s="310">
        <f>IF(U56=0,0,V57/U56)</f>
        <v>0</v>
      </c>
      <c r="W58" s="310"/>
      <c r="X58" s="310">
        <f>IF(W56=0,0,X57/W56)</f>
        <v>0</v>
      </c>
      <c r="Y58" s="310"/>
      <c r="Z58" s="310">
        <f>IF(Y56=0,0,Z57/Y56)</f>
        <v>0</v>
      </c>
      <c r="AA58" s="310"/>
      <c r="AB58" s="310">
        <f>IF(AA56=0,0,AB57/AA56)</f>
        <v>0.12607526267342403</v>
      </c>
      <c r="AC58" s="310"/>
      <c r="AD58" s="310">
        <f>IF(AC56=0,0,AD57/AC56)</f>
        <v>0.25066769117948146</v>
      </c>
      <c r="AE58" s="310"/>
      <c r="AF58" s="310">
        <f>IF(AE56=0,0,AF57/AE56)</f>
        <v>0.27273754536004746</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25">
      <c r="A59" s="332" t="s">
        <v>1205</v>
      </c>
      <c r="B59" s="322" t="s">
        <v>842</v>
      </c>
      <c r="C59" s="323">
        <f>'Расчет базового уровня'!D59</f>
        <v>12438.152572290886</v>
      </c>
      <c r="D59" s="342">
        <f>IF(IF(C143=0,0,B143/C143*D143)*0.024*$D$147&gt;C59,C59,IF(C143=0,0,B143/C143*D143)*0.024*$D$147)</f>
        <v>8633.7145263157909</v>
      </c>
      <c r="E59" s="74"/>
      <c r="F59" s="74"/>
      <c r="G59" s="334" t="s">
        <v>1205</v>
      </c>
      <c r="H59" s="326" t="s">
        <v>842</v>
      </c>
      <c r="I59" s="323">
        <f>'Расчет базового уровня'!J59</f>
        <v>2034.7650278008434</v>
      </c>
      <c r="J59" s="343">
        <f>IF($C143=0,0,MIN($B143/$C143*$D143*0.024*$G$147,I59))</f>
        <v>1508.6753684210526</v>
      </c>
      <c r="K59" s="323">
        <f>'Расчет базового уровня'!M59</f>
        <v>2255.8545080256549</v>
      </c>
      <c r="L59" s="343">
        <f>IF($C143=0,0,MIN($B143/$C143*$D143*0.024*$H$147,K59))</f>
        <v>1378.5195789473685</v>
      </c>
      <c r="M59" s="323">
        <f>'Расчет базового уровня'!P59</f>
        <v>1352.7075151823467</v>
      </c>
      <c r="N59" s="343">
        <f>IF($C143=0,0,MIN($B143/$C143*$D143*0.024*$I$147,M59))</f>
        <v>1210.4488421052633</v>
      </c>
      <c r="O59" s="323">
        <f>'Расчет базового уровня'!S59</f>
        <v>1317.0498486031704</v>
      </c>
      <c r="P59" s="343">
        <f>IF($C143=0,0,MIN($B143/$C143*$D143*0.024*$J$147,O59))</f>
        <v>645.12000000000012</v>
      </c>
      <c r="Q59" s="323">
        <f>'Расчет базового уровня'!V59</f>
        <v>394.06136245474795</v>
      </c>
      <c r="R59" s="343">
        <f>IF($C143=0,0,MIN($B143/$C143*$D143*0.024*$K$147,Q59))</f>
        <v>169.7684210526316</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1039.2897853081049</v>
      </c>
      <c r="AB59" s="343">
        <f>IF($C143=0,0,MIN($B143/$C143*$D143*0.024*$P$147,AA59))</f>
        <v>908.26105263157899</v>
      </c>
      <c r="AC59" s="323">
        <f>'Расчет базового уровня'!AN59</f>
        <v>1863.4526320582693</v>
      </c>
      <c r="AD59" s="343">
        <f>IF($C143=0,0,MIN($B143/$C143*$D143*0.024*$Q$147,AC59))</f>
        <v>1396.3452631578948</v>
      </c>
      <c r="AE59" s="323">
        <f>'Расчет базового уровня'!AQ59</f>
        <v>1947.8195126975274</v>
      </c>
      <c r="AF59" s="343">
        <f>IF($C143=0,0,MIN($B143/$C143*$D143*0.024*$R$147,AE59))</f>
        <v>1416.576</v>
      </c>
      <c r="AG59" s="74"/>
      <c r="AH59" s="74"/>
      <c r="AI59" s="74"/>
      <c r="AJ59" s="74"/>
      <c r="AK59" s="74"/>
      <c r="AL59" s="74"/>
      <c r="AM59" s="74"/>
      <c r="AN59" s="74"/>
      <c r="AO59" s="74"/>
      <c r="AP59" s="74"/>
      <c r="AQ59" s="74"/>
      <c r="AR59" s="74"/>
      <c r="AS59" s="74"/>
      <c r="AT59" s="74"/>
      <c r="AU59" s="74"/>
    </row>
    <row r="60" spans="1:55" x14ac:dyDescent="0.25">
      <c r="A60" s="307" t="s">
        <v>1339</v>
      </c>
      <c r="B60" s="304" t="s">
        <v>842</v>
      </c>
      <c r="C60" s="308"/>
      <c r="D60" s="308">
        <f>C59-D59</f>
        <v>3804.4380459750955</v>
      </c>
      <c r="E60" s="74"/>
      <c r="F60" s="74"/>
      <c r="G60" s="307" t="s">
        <v>1339</v>
      </c>
      <c r="H60" s="304" t="s">
        <v>842</v>
      </c>
      <c r="I60" s="308"/>
      <c r="J60" s="308">
        <f>I59-J59</f>
        <v>526.08965937979087</v>
      </c>
      <c r="K60" s="308"/>
      <c r="L60" s="308">
        <f>K59-L59</f>
        <v>877.33492907828645</v>
      </c>
      <c r="M60" s="308"/>
      <c r="N60" s="308">
        <f>M59-N59</f>
        <v>142.25867307708336</v>
      </c>
      <c r="O60" s="308"/>
      <c r="P60" s="308">
        <f>O59-P59</f>
        <v>671.92984860317029</v>
      </c>
      <c r="Q60" s="308"/>
      <c r="R60" s="308">
        <f>Q59-R59</f>
        <v>224.29294140211636</v>
      </c>
      <c r="S60" s="308"/>
      <c r="T60" s="308">
        <f>S59-T59</f>
        <v>0</v>
      </c>
      <c r="U60" s="308"/>
      <c r="V60" s="308">
        <f>U59-V59</f>
        <v>0</v>
      </c>
      <c r="W60" s="308"/>
      <c r="X60" s="308">
        <f>W59-X59</f>
        <v>0</v>
      </c>
      <c r="Y60" s="308"/>
      <c r="Z60" s="308">
        <f>Y59-Z59</f>
        <v>0</v>
      </c>
      <c r="AA60" s="308"/>
      <c r="AB60" s="308">
        <f>AA59-AB59</f>
        <v>131.02873267652592</v>
      </c>
      <c r="AC60" s="308"/>
      <c r="AD60" s="308">
        <f>AC59-AD59</f>
        <v>467.10736890037447</v>
      </c>
      <c r="AE60" s="308"/>
      <c r="AF60" s="308">
        <f>AE59-AF59</f>
        <v>531.24351269752742</v>
      </c>
      <c r="AG60" s="74"/>
      <c r="AH60" s="74"/>
      <c r="AI60" s="74"/>
      <c r="AJ60" s="74"/>
      <c r="AK60" s="74"/>
      <c r="AL60" s="74"/>
      <c r="AM60" s="74"/>
      <c r="AN60" s="74"/>
      <c r="AO60" s="74"/>
      <c r="AP60" s="74"/>
      <c r="AQ60" s="74"/>
      <c r="AR60" s="74"/>
      <c r="AS60" s="74"/>
      <c r="AT60" s="74"/>
      <c r="AU60" s="74"/>
    </row>
    <row r="61" spans="1:55" ht="15.75" thickBot="1" x14ac:dyDescent="0.3">
      <c r="A61" s="307" t="s">
        <v>874</v>
      </c>
      <c r="B61" s="309" t="s">
        <v>1181</v>
      </c>
      <c r="C61" s="310"/>
      <c r="D61" s="310">
        <f>IF(C59=0,0,D60/C59)</f>
        <v>0.30586841766601564</v>
      </c>
      <c r="E61" s="74"/>
      <c r="F61" s="74"/>
      <c r="G61" s="307" t="s">
        <v>874</v>
      </c>
      <c r="H61" s="309" t="s">
        <v>1181</v>
      </c>
      <c r="I61" s="310"/>
      <c r="J61" s="310">
        <f>IF(I59=0,0,J60/I59)</f>
        <v>0.2585505707990195</v>
      </c>
      <c r="K61" s="310"/>
      <c r="L61" s="310">
        <f>IF(K59=0,0,L60/K59)</f>
        <v>0.38891467776711286</v>
      </c>
      <c r="M61" s="310"/>
      <c r="N61" s="310">
        <f>IF(M59=0,0,N60/M59)</f>
        <v>0.105165877678965</v>
      </c>
      <c r="O61" s="310"/>
      <c r="P61" s="310">
        <f>IF(O59=0,0,P60/O59)</f>
        <v>0.51017799312288903</v>
      </c>
      <c r="Q61" s="310"/>
      <c r="R61" s="310">
        <f>IF(Q59=0,0,R60/Q59)</f>
        <v>0.56918277905988068</v>
      </c>
      <c r="S61" s="310"/>
      <c r="T61" s="310">
        <f>IF(S59=0,0,T60/S59)</f>
        <v>0</v>
      </c>
      <c r="U61" s="310"/>
      <c r="V61" s="310">
        <f>IF(U59=0,0,V60/U59)</f>
        <v>0</v>
      </c>
      <c r="W61" s="310"/>
      <c r="X61" s="310">
        <f>IF(W59=0,0,X60/W59)</f>
        <v>0</v>
      </c>
      <c r="Y61" s="310"/>
      <c r="Z61" s="310">
        <f>IF(Y59=0,0,Z60/Y59)</f>
        <v>0</v>
      </c>
      <c r="AA61" s="310"/>
      <c r="AB61" s="310">
        <f>IF(AA59=0,0,AB60/AA59)</f>
        <v>0.12607526267342414</v>
      </c>
      <c r="AC61" s="310"/>
      <c r="AD61" s="310">
        <f>IF(AC59=0,0,AD60/AC59)</f>
        <v>0.25066769117948162</v>
      </c>
      <c r="AE61" s="310"/>
      <c r="AF61" s="310">
        <f>IF(AE59=0,0,AF60/AE59)</f>
        <v>0.27273754536004746</v>
      </c>
      <c r="AG61" s="74"/>
      <c r="AH61" s="74"/>
      <c r="AI61" s="74"/>
      <c r="AJ61" s="74"/>
      <c r="AK61" s="74"/>
      <c r="AL61" s="74"/>
      <c r="AM61" s="74"/>
      <c r="AN61" s="74"/>
      <c r="AO61" s="74"/>
      <c r="AP61" s="74"/>
      <c r="AQ61" s="74"/>
      <c r="AR61" s="74"/>
      <c r="AS61" s="74"/>
      <c r="AT61" s="74"/>
      <c r="AU61" s="74"/>
    </row>
    <row r="62" spans="1:55" ht="24.75" customHeight="1" x14ac:dyDescent="0.25">
      <c r="A62" s="329" t="s">
        <v>1198</v>
      </c>
      <c r="B62" s="322" t="s">
        <v>842</v>
      </c>
      <c r="C62" s="323">
        <f>'Расчет базового уровня'!D62</f>
        <v>1445068.1162449038</v>
      </c>
      <c r="D62" s="324">
        <f>IF((D151*D152*'Ввод исходных данных'!$D$22*0.28)*D147*0.024+D190*D154+D161&gt;C62,C62,(D151*D152*'Ввод исходных данных'!$D$22*0.28)*D147*0.024+D190*D154+D161)</f>
        <v>1004967.9692677301</v>
      </c>
      <c r="E62" s="74"/>
      <c r="F62" s="74"/>
      <c r="G62" s="344" t="s">
        <v>1198</v>
      </c>
      <c r="H62" s="326" t="s">
        <v>842</v>
      </c>
      <c r="I62" s="323">
        <f>'Расчет базового уровня'!J62</f>
        <v>236399.58174139116</v>
      </c>
      <c r="J62" s="328">
        <f>MIN(I62,($D$151*$D$152*'Ввод исходных данных'!$D$22*0.28)*$G$147*0.024+$G$190*$D$154+$G$161)</f>
        <v>175278.33494550499</v>
      </c>
      <c r="K62" s="323">
        <f>'Расчет базового уровня'!M62</f>
        <v>262085.82066257755</v>
      </c>
      <c r="L62" s="328">
        <f>MIN(K62,($D$151*$D$152*'Ввод исходных данных'!$D$22*0.28)*$H$147*0.024+$H$190*$D$154+$H$161)</f>
        <v>160156.79817226186</v>
      </c>
      <c r="M62" s="323">
        <f>'Расчет базового уровня'!P62</f>
        <v>157157.94523614267</v>
      </c>
      <c r="N62" s="328">
        <f>MIN(M62,($D$151*$D$152*'Ввод исходных данных'!$D$22*0.28)*$I$147*0.024+$I$190*$D$154+$I$161)</f>
        <v>140630.29199116101</v>
      </c>
      <c r="O62" s="323">
        <f>'Расчет базового уровня'!S62</f>
        <v>153015.22735470661</v>
      </c>
      <c r="P62" s="328">
        <f>MIN(O62,($D$151*$D$152*'Ввод исходных данных'!$D$22*0.28)*$J$147*0.024+$J$190*$D$154+$J$161)</f>
        <v>74950.225745639807</v>
      </c>
      <c r="Q62" s="323">
        <f>'Расчет базового уровня'!V62</f>
        <v>45782.161572448138</v>
      </c>
      <c r="R62" s="328">
        <f>MIN(Q62,($D$151*$D$152*'Ввод исходных данных'!$D$22*0.28)*$K$147*0.024+$K$190*$D$154+$K$161)</f>
        <v>19723.743617273634</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120744.98391613962</v>
      </c>
      <c r="AB62" s="328">
        <f>MIN(AA62,($D$151*$D$152*'Ввод исходных данных'!$D$22*0.28)*$P$147*0.024+$P$190*$D$154+$P$161)</f>
        <v>105522.02835241394</v>
      </c>
      <c r="AC62" s="323">
        <f>'Расчет базового уровня'!AN62</f>
        <v>216496.45870392164</v>
      </c>
      <c r="AD62" s="328">
        <f>MIN(AC62,($D$151*$D$152*'Ввод исходных данных'!$D$22*0.28)*$Q$147*0.024+$Q$190*$D$154+$Q$161)</f>
        <v>162227.79125207564</v>
      </c>
      <c r="AE62" s="323">
        <f>'Расчет базового уровня'!AQ62</f>
        <v>226298.2269786114</v>
      </c>
      <c r="AF62" s="328">
        <f>MIN(AE62,($D$151*$D$152*'Ввод исходных данных'!$D$22*0.28)*$R$147*0.024+$R$190*$D$154+$R$161)</f>
        <v>164578.20403313404</v>
      </c>
      <c r="AG62" s="74"/>
      <c r="AH62" s="74"/>
      <c r="AI62" s="74"/>
      <c r="AJ62" s="74"/>
      <c r="AK62" s="74"/>
      <c r="AL62" s="74"/>
      <c r="AM62" s="74"/>
      <c r="AN62" s="74"/>
      <c r="AO62" s="74"/>
      <c r="AP62" s="74"/>
      <c r="AQ62" s="74"/>
      <c r="AR62" s="74"/>
      <c r="AS62" s="74"/>
      <c r="AT62" s="74"/>
      <c r="AU62" s="74"/>
    </row>
    <row r="63" spans="1:55" x14ac:dyDescent="0.25">
      <c r="A63" s="307" t="s">
        <v>1339</v>
      </c>
      <c r="B63" s="304" t="s">
        <v>842</v>
      </c>
      <c r="C63" s="308"/>
      <c r="D63" s="308">
        <f>C62-D62</f>
        <v>440100.14697717363</v>
      </c>
      <c r="E63" s="317"/>
      <c r="F63" s="74"/>
      <c r="G63" s="307" t="s">
        <v>1339</v>
      </c>
      <c r="H63" s="304" t="s">
        <v>842</v>
      </c>
      <c r="I63" s="308"/>
      <c r="J63" s="308">
        <f>I62-J62</f>
        <v>61121.246795886167</v>
      </c>
      <c r="K63" s="308"/>
      <c r="L63" s="308">
        <f>K62-L62</f>
        <v>101929.02249031569</v>
      </c>
      <c r="M63" s="308"/>
      <c r="N63" s="308">
        <f>M62-N62</f>
        <v>16527.653244981659</v>
      </c>
      <c r="O63" s="308"/>
      <c r="P63" s="308">
        <f>O62-P62</f>
        <v>78065.001609066807</v>
      </c>
      <c r="Q63" s="308"/>
      <c r="R63" s="308">
        <f>Q62-R62</f>
        <v>26058.417955174504</v>
      </c>
      <c r="S63" s="308"/>
      <c r="T63" s="308">
        <f>S62-T62</f>
        <v>0</v>
      </c>
      <c r="U63" s="308"/>
      <c r="V63" s="308">
        <f>U62-V62</f>
        <v>0</v>
      </c>
      <c r="W63" s="308"/>
      <c r="X63" s="308">
        <f>W62-X62</f>
        <v>0</v>
      </c>
      <c r="Y63" s="308"/>
      <c r="Z63" s="308">
        <f>Y62-Z62</f>
        <v>0</v>
      </c>
      <c r="AA63" s="308"/>
      <c r="AB63" s="308">
        <f>AA62-AB62</f>
        <v>15222.955563725685</v>
      </c>
      <c r="AC63" s="308"/>
      <c r="AD63" s="308">
        <f>AC62-AD62</f>
        <v>54268.667451846006</v>
      </c>
      <c r="AE63" s="308"/>
      <c r="AF63" s="308">
        <f>AE62-AF62</f>
        <v>61720.022945477365</v>
      </c>
      <c r="AG63" s="74"/>
      <c r="AH63" s="74"/>
      <c r="AI63" s="74"/>
      <c r="AJ63" s="74"/>
      <c r="AK63" s="74"/>
      <c r="AL63" s="74"/>
      <c r="AM63" s="74"/>
      <c r="AN63" s="74"/>
      <c r="AO63" s="74"/>
      <c r="AP63" s="74"/>
      <c r="AQ63" s="74"/>
      <c r="AR63" s="74"/>
      <c r="AS63" s="74"/>
      <c r="AT63" s="74"/>
      <c r="AU63" s="74"/>
    </row>
    <row r="64" spans="1:55" ht="15.75" thickBot="1" x14ac:dyDescent="0.3">
      <c r="A64" s="307" t="s">
        <v>874</v>
      </c>
      <c r="B64" s="309" t="s">
        <v>1181</v>
      </c>
      <c r="C64" s="310"/>
      <c r="D64" s="310">
        <f>IF(C62=0,0,D63/C62)</f>
        <v>0.3045532193463657</v>
      </c>
      <c r="E64" s="74"/>
      <c r="F64" s="74"/>
      <c r="G64" s="307" t="s">
        <v>874</v>
      </c>
      <c r="H64" s="309" t="s">
        <v>1181</v>
      </c>
      <c r="I64" s="310"/>
      <c r="J64" s="310">
        <f>IF(I62=0,0,J63/I62)</f>
        <v>0.25855057079901955</v>
      </c>
      <c r="K64" s="310"/>
      <c r="L64" s="310">
        <f>IF(K62=0,0,L63/K62)</f>
        <v>0.38891467776711292</v>
      </c>
      <c r="M64" s="310"/>
      <c r="N64" s="310">
        <f>IF(M62=0,0,N63/M62)</f>
        <v>0.10516587767896499</v>
      </c>
      <c r="O64" s="310"/>
      <c r="P64" s="310">
        <f>IF(O62=0,0,P63/O62)</f>
        <v>0.51017799312288903</v>
      </c>
      <c r="Q64" s="310"/>
      <c r="R64" s="310">
        <f>IF(Q62=0,0,R63/Q62)</f>
        <v>0.56918277905988057</v>
      </c>
      <c r="S64" s="310"/>
      <c r="T64" s="310">
        <f>IF(S62=0,0,T63/S62)</f>
        <v>0</v>
      </c>
      <c r="U64" s="310"/>
      <c r="V64" s="310">
        <f>IF(U62=0,0,V63/U62)</f>
        <v>0</v>
      </c>
      <c r="W64" s="310"/>
      <c r="X64" s="310">
        <f>IF(W62=0,0,X63/W62)</f>
        <v>0</v>
      </c>
      <c r="Y64" s="310"/>
      <c r="Z64" s="310">
        <f>IF(Y62=0,0,Z63/Y62)</f>
        <v>0</v>
      </c>
      <c r="AA64" s="310"/>
      <c r="AB64" s="310">
        <f>IF(AA62=0,0,AB63/AA62)</f>
        <v>0.12607526267342423</v>
      </c>
      <c r="AC64" s="310"/>
      <c r="AD64" s="310">
        <f>IF(AC62=0,0,AD63/AC62)</f>
        <v>0.25066769117948151</v>
      </c>
      <c r="AE64" s="310"/>
      <c r="AF64" s="310">
        <f>IF(AE62=0,0,AF63/AE62)</f>
        <v>0.27273754536004757</v>
      </c>
      <c r="AG64" s="74"/>
      <c r="AH64" s="74"/>
      <c r="AI64" s="74"/>
      <c r="AJ64" s="74"/>
      <c r="AK64" s="74"/>
      <c r="AL64" s="74"/>
      <c r="AM64" s="74"/>
      <c r="AN64" s="74"/>
      <c r="AO64" s="74"/>
      <c r="AP64" s="74"/>
      <c r="AQ64" s="74"/>
      <c r="AR64" s="74"/>
      <c r="AS64" s="74"/>
      <c r="AT64" s="74"/>
      <c r="AU64" s="74"/>
    </row>
    <row r="65" spans="1:47" ht="45.75" customHeight="1" x14ac:dyDescent="0.25">
      <c r="A65" s="329" t="s">
        <v>1206</v>
      </c>
      <c r="B65" s="322" t="s">
        <v>842</v>
      </c>
      <c r="C65" s="323">
        <f>'Расчет базового уровня'!D65</f>
        <v>344214.69268164801</v>
      </c>
      <c r="D65" s="324">
        <f>IF((D62+D38-D71*$D$156)*($D$158-1)&gt;C65,C65,(D62+D38-D71*$D$156)*($D$158-1))</f>
        <v>238948.50732448153</v>
      </c>
      <c r="E65" s="74"/>
      <c r="F65" s="74"/>
      <c r="G65" s="345" t="s">
        <v>1206</v>
      </c>
      <c r="H65" s="346" t="s">
        <v>842</v>
      </c>
      <c r="I65" s="323">
        <f>'Расчет базового уровня'!J65</f>
        <v>58568.594623468183</v>
      </c>
      <c r="J65" s="347">
        <f>MIN(I65,(J62+J38-J71*$D$156)*($D$158-1))</f>
        <v>43057.406151924923</v>
      </c>
      <c r="K65" s="323">
        <f>'Расчет базового уровня'!M65</f>
        <v>64589.697797210873</v>
      </c>
      <c r="L65" s="347">
        <f>MIN(K65,(L62+L38-L71*$D$156)*($D$158-1))</f>
        <v>39448.437920777869</v>
      </c>
      <c r="M65" s="323">
        <f>'Расчет базового уровня'!P65</f>
        <v>37499.262334550462</v>
      </c>
      <c r="N65" s="347">
        <f>MIN(M65,(N62+N38-N71*$D$156)*($D$158-1))</f>
        <v>33416.419416250385</v>
      </c>
      <c r="O65" s="323">
        <f>'Расчет базового уровня'!S65</f>
        <v>33018.850261659943</v>
      </c>
      <c r="P65" s="347">
        <f>MIN(O65,(P62+P38-P71*$D$156)*($D$158-1))</f>
        <v>15469.821977360152</v>
      </c>
      <c r="Q65" s="323">
        <f>'Расчет базового уровня'!V65</f>
        <v>237.44390253629868</v>
      </c>
      <c r="R65" s="347">
        <f>MIN(Q65,(R62+R38-R71*$D$156)*($D$158-1))</f>
        <v>237.44390253629868</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26170.991570668579</v>
      </c>
      <c r="AB65" s="347">
        <f>MIN(AA65,(AB62+AB38-AB71*$D$156)*($D$158-1))</f>
        <v>23871.414665168475</v>
      </c>
      <c r="AC65" s="323">
        <f>'Расчет базового уровня'!AN65</f>
        <v>51355.159401900462</v>
      </c>
      <c r="AD65" s="347">
        <f>MIN(AC65,(AD62+AD38-AD71*$D$156)*($D$158-1))</f>
        <v>39615.145600433301</v>
      </c>
      <c r="AE65" s="323">
        <f>'Расчет базового уровня'!AQ65</f>
        <v>55530.070733058092</v>
      </c>
      <c r="AF65" s="347">
        <f>MIN(AE65,(AF62+AF38-AF71*$D$156)*($D$158-1))</f>
        <v>40094.830720935999</v>
      </c>
      <c r="AG65" s="74"/>
      <c r="AH65" s="74"/>
      <c r="AI65" s="74"/>
      <c r="AJ65" s="74"/>
      <c r="AK65" s="74"/>
      <c r="AL65" s="74"/>
      <c r="AM65" s="74"/>
      <c r="AN65" s="74"/>
      <c r="AO65" s="74"/>
      <c r="AP65" s="74"/>
      <c r="AQ65" s="74"/>
      <c r="AR65" s="74"/>
      <c r="AS65" s="74"/>
      <c r="AT65" s="74"/>
      <c r="AU65" s="74"/>
    </row>
    <row r="66" spans="1:47" x14ac:dyDescent="0.25">
      <c r="A66" s="307" t="s">
        <v>1339</v>
      </c>
      <c r="B66" s="304" t="s">
        <v>842</v>
      </c>
      <c r="C66" s="308"/>
      <c r="D66" s="308">
        <f>C65-D65</f>
        <v>105266.18535716648</v>
      </c>
      <c r="E66" s="74"/>
      <c r="F66" s="74"/>
      <c r="G66" s="307" t="s">
        <v>1339</v>
      </c>
      <c r="H66" s="304" t="s">
        <v>842</v>
      </c>
      <c r="I66" s="308"/>
      <c r="J66" s="308">
        <f>I65-J65</f>
        <v>15511.188471543261</v>
      </c>
      <c r="K66" s="308"/>
      <c r="L66" s="308">
        <f>K65-L65</f>
        <v>25141.259876433003</v>
      </c>
      <c r="M66" s="308"/>
      <c r="N66" s="308">
        <f>M65-N65</f>
        <v>4082.8429183000771</v>
      </c>
      <c r="O66" s="308"/>
      <c r="P66" s="308">
        <f>O65-P65</f>
        <v>17549.028284299791</v>
      </c>
      <c r="Q66" s="308"/>
      <c r="R66" s="308">
        <f>Q65-R65</f>
        <v>0</v>
      </c>
      <c r="S66" s="308"/>
      <c r="T66" s="308">
        <f>S65-T65</f>
        <v>0</v>
      </c>
      <c r="U66" s="308"/>
      <c r="V66" s="308">
        <f>U65-V65</f>
        <v>0</v>
      </c>
      <c r="W66" s="308"/>
      <c r="X66" s="308">
        <f>W65-X65</f>
        <v>0</v>
      </c>
      <c r="Y66" s="308"/>
      <c r="Z66" s="308">
        <f>Y65-Z65</f>
        <v>0</v>
      </c>
      <c r="AA66" s="308"/>
      <c r="AB66" s="308">
        <f>AA65-AB65</f>
        <v>2299.5769055001037</v>
      </c>
      <c r="AC66" s="308"/>
      <c r="AD66" s="308">
        <f>AC65-AD65</f>
        <v>11740.013801467161</v>
      </c>
      <c r="AE66" s="308"/>
      <c r="AF66" s="308">
        <f>AE65-AF65</f>
        <v>15435.240012122093</v>
      </c>
      <c r="AG66" s="74"/>
      <c r="AH66" s="74"/>
      <c r="AI66" s="74"/>
      <c r="AJ66" s="74"/>
      <c r="AK66" s="74"/>
      <c r="AL66" s="74"/>
      <c r="AM66" s="74"/>
      <c r="AN66" s="74"/>
      <c r="AO66" s="74"/>
      <c r="AP66" s="74"/>
      <c r="AQ66" s="74"/>
      <c r="AR66" s="74"/>
      <c r="AS66" s="74"/>
      <c r="AT66" s="74"/>
      <c r="AU66" s="74"/>
    </row>
    <row r="67" spans="1:47" ht="18" customHeight="1" thickBot="1" x14ac:dyDescent="0.3">
      <c r="A67" s="307" t="s">
        <v>874</v>
      </c>
      <c r="B67" s="309" t="s">
        <v>1181</v>
      </c>
      <c r="C67" s="310"/>
      <c r="D67" s="310">
        <f>IF(C65=0,0,D66/C65)</f>
        <v>0.30581549130595498</v>
      </c>
      <c r="E67" s="74"/>
      <c r="F67" s="74"/>
      <c r="G67" s="307" t="s">
        <v>874</v>
      </c>
      <c r="H67" s="309" t="s">
        <v>1181</v>
      </c>
      <c r="I67" s="310"/>
      <c r="J67" s="310">
        <f>IF(I65=0,0,J66/I65)</f>
        <v>0.26483798307374778</v>
      </c>
      <c r="K67" s="310"/>
      <c r="L67" s="310">
        <f>IF(K65=0,0,L66/K65)</f>
        <v>0.38924566508064168</v>
      </c>
      <c r="M67" s="310"/>
      <c r="N67" s="310">
        <f>IF(M65=0,0,N66/M65)</f>
        <v>0.10887795290144398</v>
      </c>
      <c r="O67" s="310"/>
      <c r="P67" s="310">
        <f>IF(O65=0,0,P66/O65)</f>
        <v>0.53148514091894239</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8.7867396972355433E-2</v>
      </c>
      <c r="AC67" s="310"/>
      <c r="AD67" s="310">
        <f>IF(AC65=0,0,AD66/AC65)</f>
        <v>0.22860436883451105</v>
      </c>
      <c r="AE67" s="310"/>
      <c r="AF67" s="310">
        <f>IF(AE65=0,0,AF66/AE65)</f>
        <v>0.27796182875980391</v>
      </c>
      <c r="AG67" s="74"/>
      <c r="AH67" s="74"/>
      <c r="AI67" s="74"/>
      <c r="AJ67" s="74"/>
      <c r="AK67" s="74"/>
      <c r="AL67" s="74"/>
      <c r="AM67" s="74"/>
      <c r="AN67" s="74"/>
      <c r="AO67" s="74"/>
      <c r="AP67" s="74"/>
      <c r="AQ67" s="74"/>
      <c r="AR67" s="74"/>
      <c r="AS67" s="74"/>
      <c r="AT67" s="74"/>
      <c r="AU67" s="74"/>
    </row>
    <row r="68" spans="1:47" ht="45.6" customHeight="1" x14ac:dyDescent="0.25">
      <c r="A68" s="329" t="s">
        <v>1200</v>
      </c>
      <c r="B68" s="322" t="s">
        <v>842</v>
      </c>
      <c r="C68" s="323">
        <f>'Расчет базового уровня'!D68</f>
        <v>430527.76799899031</v>
      </c>
      <c r="D68" s="348">
        <f>IF(D71*(1-$D$156)&gt;C68,C68,D71*(1-$D$156))</f>
        <v>304102.18800000002</v>
      </c>
      <c r="E68" s="74"/>
      <c r="F68" s="74"/>
      <c r="G68" s="345" t="s">
        <v>1200</v>
      </c>
      <c r="H68" s="346" t="s">
        <v>842</v>
      </c>
      <c r="I68" s="323">
        <f>'Расчет базового уровня'!J68</f>
        <v>53058.75321338811</v>
      </c>
      <c r="J68" s="349">
        <f>MIN(I68,J71*(1-$D$156))</f>
        <v>42656.868000000002</v>
      </c>
      <c r="K68" s="323">
        <f>'Расчет базового уровня'!M68</f>
        <v>61460.271996737218</v>
      </c>
      <c r="L68" s="349">
        <f>MIN(K68,L71*(1-$D$156))</f>
        <v>38528.784</v>
      </c>
      <c r="M68" s="323">
        <f>'Расчет базового уровня'!P68</f>
        <v>46327.319276761278</v>
      </c>
      <c r="N68" s="349">
        <f>MIN(M68,N71*(1-$D$156))</f>
        <v>42656.868000000002</v>
      </c>
      <c r="O68" s="323">
        <f>'Расчет базового уровня'!S68</f>
        <v>71967.069439708619</v>
      </c>
      <c r="P68" s="349">
        <f>MIN(O68,P71*(1-$D$156))</f>
        <v>41280.840000000004</v>
      </c>
      <c r="Q68" s="323">
        <f>'Расчет базового уровня'!V68</f>
        <v>95700.221269746093</v>
      </c>
      <c r="R68" s="349">
        <f>MIN(Q68,R71*(1-$D$156))</f>
        <v>13760.28</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55899.738827478774</v>
      </c>
      <c r="AB68" s="349">
        <f>MIN(AA68,AB71*(1-$D$156))</f>
        <v>41280.840000000004</v>
      </c>
      <c r="AC68" s="323">
        <f>'Расчет базового уровня'!AN68</f>
        <v>66148.40894558627</v>
      </c>
      <c r="AD68" s="349">
        <f>MIN(AC68,AD71*(1-$D$156))</f>
        <v>41280.840000000004</v>
      </c>
      <c r="AE68" s="323">
        <f>'Расчет базового уровня'!AQ68</f>
        <v>54913.765506324307</v>
      </c>
      <c r="AF68" s="349">
        <f>MIN(AE68,AF71*(1-$D$156))</f>
        <v>42656.868000000002</v>
      </c>
      <c r="AG68" s="74"/>
      <c r="AH68" s="74"/>
      <c r="AI68" s="74"/>
      <c r="AJ68" s="74"/>
      <c r="AK68" s="74"/>
      <c r="AL68" s="74"/>
      <c r="AM68" s="74"/>
      <c r="AN68" s="74"/>
      <c r="AO68" s="74"/>
      <c r="AP68" s="74"/>
      <c r="AQ68" s="74"/>
      <c r="AR68" s="74"/>
      <c r="AS68" s="74"/>
      <c r="AT68" s="74"/>
      <c r="AU68" s="74"/>
    </row>
    <row r="69" spans="1:47" x14ac:dyDescent="0.25">
      <c r="A69" s="307" t="s">
        <v>1339</v>
      </c>
      <c r="B69" s="304" t="s">
        <v>842</v>
      </c>
      <c r="C69" s="308"/>
      <c r="D69" s="308">
        <f>C68-D68</f>
        <v>126425.57999899029</v>
      </c>
      <c r="E69" s="74"/>
      <c r="F69" s="74"/>
      <c r="G69" s="307" t="s">
        <v>1339</v>
      </c>
      <c r="H69" s="304" t="s">
        <v>842</v>
      </c>
      <c r="I69" s="308"/>
      <c r="J69" s="308">
        <f>I68-J68</f>
        <v>10401.885213388108</v>
      </c>
      <c r="K69" s="308"/>
      <c r="L69" s="308">
        <f>K68-L68</f>
        <v>22931.487996737218</v>
      </c>
      <c r="M69" s="308"/>
      <c r="N69" s="308">
        <f>M68-N68</f>
        <v>3670.4512767612759</v>
      </c>
      <c r="O69" s="308"/>
      <c r="P69" s="308">
        <f>O68-P68</f>
        <v>30686.229439708615</v>
      </c>
      <c r="Q69" s="308"/>
      <c r="R69" s="308">
        <f>Q68-R68</f>
        <v>81939.941269746094</v>
      </c>
      <c r="S69" s="308"/>
      <c r="T69" s="308">
        <f>S68-T68</f>
        <v>0</v>
      </c>
      <c r="U69" s="308"/>
      <c r="V69" s="308">
        <f>U68-V68</f>
        <v>0</v>
      </c>
      <c r="W69" s="308"/>
      <c r="X69" s="308">
        <f>W68-X68</f>
        <v>0</v>
      </c>
      <c r="Y69" s="308"/>
      <c r="Z69" s="308">
        <f>Y68-Z68</f>
        <v>0</v>
      </c>
      <c r="AA69" s="308"/>
      <c r="AB69" s="308">
        <f>AA68-AB68</f>
        <v>14618.89882747877</v>
      </c>
      <c r="AC69" s="308"/>
      <c r="AD69" s="308">
        <f>AC68-AD68</f>
        <v>24867.568945586267</v>
      </c>
      <c r="AE69" s="308"/>
      <c r="AF69" s="308">
        <f>AE68-AF68</f>
        <v>12256.897506324305</v>
      </c>
      <c r="AG69" s="74"/>
      <c r="AH69" s="74"/>
      <c r="AI69" s="74"/>
      <c r="AJ69" s="74"/>
      <c r="AK69" s="74"/>
      <c r="AL69" s="74"/>
      <c r="AM69" s="74"/>
      <c r="AN69" s="74"/>
      <c r="AO69" s="74"/>
      <c r="AP69" s="74"/>
      <c r="AQ69" s="74"/>
      <c r="AR69" s="74"/>
      <c r="AS69" s="74"/>
      <c r="AT69" s="74"/>
      <c r="AU69" s="74"/>
    </row>
    <row r="70" spans="1:47" ht="15" customHeight="1" thickBot="1" x14ac:dyDescent="0.3">
      <c r="A70" s="307" t="s">
        <v>874</v>
      </c>
      <c r="B70" s="309" t="s">
        <v>1181</v>
      </c>
      <c r="C70" s="310"/>
      <c r="D70" s="310">
        <f>IF(C68=0,0,D69/C68)</f>
        <v>0.29365255715465671</v>
      </c>
      <c r="E70" s="74"/>
      <c r="F70" s="74"/>
      <c r="G70" s="307" t="s">
        <v>874</v>
      </c>
      <c r="H70" s="309" t="s">
        <v>1181</v>
      </c>
      <c r="I70" s="310"/>
      <c r="J70" s="310">
        <f>IF(I68=0,0,J69/I68)</f>
        <v>0.19604465961637862</v>
      </c>
      <c r="K70" s="310"/>
      <c r="L70" s="310">
        <f>IF(K68=0,0,L69/K68)</f>
        <v>0.37311074701971053</v>
      </c>
      <c r="M70" s="310"/>
      <c r="N70" s="310">
        <f>IF(M68=0,0,N69/M68)</f>
        <v>7.9228656742123399E-2</v>
      </c>
      <c r="O70" s="310"/>
      <c r="P70" s="310">
        <f>IF(O68=0,0,P69/O68)</f>
        <v>0.426392649841278</v>
      </c>
      <c r="Q70" s="310"/>
      <c r="R70" s="310">
        <f>IF(Q68=0,0,R69/Q68)</f>
        <v>0.85621475251123513</v>
      </c>
      <c r="S70" s="310"/>
      <c r="T70" s="310">
        <f>IF(S68=0,0,T69/S68)</f>
        <v>0</v>
      </c>
      <c r="U70" s="310"/>
      <c r="V70" s="310">
        <f>IF(U68=0,0,V69/U68)</f>
        <v>0</v>
      </c>
      <c r="W70" s="310"/>
      <c r="X70" s="310">
        <f>IF(W68=0,0,X69/W68)</f>
        <v>0</v>
      </c>
      <c r="Y70" s="310"/>
      <c r="Z70" s="310">
        <f>IF(Y68=0,0,Z69/Y68)</f>
        <v>0</v>
      </c>
      <c r="AA70" s="310"/>
      <c r="AB70" s="310">
        <f>IF(AA68=0,0,AB69/AA68)</f>
        <v>0.26151998442419416</v>
      </c>
      <c r="AC70" s="310"/>
      <c r="AD70" s="310">
        <f>IF(AC68=0,0,AD69/AC68)</f>
        <v>0.37593601028321555</v>
      </c>
      <c r="AE70" s="310"/>
      <c r="AF70" s="310">
        <f>IF(AE68=0,0,AF69/AE68)</f>
        <v>0.22320264132884318</v>
      </c>
      <c r="AG70" s="74"/>
      <c r="AH70" s="74"/>
      <c r="AI70" s="74"/>
      <c r="AJ70" s="74"/>
      <c r="AK70" s="74"/>
      <c r="AL70" s="74"/>
      <c r="AM70" s="74"/>
      <c r="AN70" s="74"/>
      <c r="AO70" s="74"/>
      <c r="AP70" s="74"/>
      <c r="AQ70" s="74"/>
      <c r="AR70" s="74"/>
      <c r="AS70" s="74"/>
      <c r="AT70" s="74"/>
      <c r="AU70" s="74"/>
    </row>
    <row r="71" spans="1:47" ht="26.1" customHeight="1" x14ac:dyDescent="0.25">
      <c r="A71" s="350" t="s">
        <v>1202</v>
      </c>
      <c r="B71" s="351" t="s">
        <v>842</v>
      </c>
      <c r="C71" s="323">
        <f>'Расчет базового уровня'!D71</f>
        <v>608204.37600000005</v>
      </c>
      <c r="D71" s="352">
        <f>C71</f>
        <v>608204.37600000005</v>
      </c>
      <c r="E71" s="74"/>
      <c r="F71" s="74"/>
      <c r="G71" s="344" t="s">
        <v>1202</v>
      </c>
      <c r="H71" s="346" t="s">
        <v>842</v>
      </c>
      <c r="I71" s="323">
        <f>'Расчет базового уровня'!J71</f>
        <v>85313.736000000004</v>
      </c>
      <c r="J71" s="353">
        <f>I71</f>
        <v>85313.736000000004</v>
      </c>
      <c r="K71" s="323">
        <f>'Расчет базового уровня'!M71</f>
        <v>77057.567999999999</v>
      </c>
      <c r="L71" s="353">
        <f>K71</f>
        <v>77057.567999999999</v>
      </c>
      <c r="M71" s="323">
        <f>'Расчет базового уровня'!P71</f>
        <v>85313.736000000004</v>
      </c>
      <c r="N71" s="353">
        <f>M71</f>
        <v>85313.736000000004</v>
      </c>
      <c r="O71" s="323">
        <f>'Расчет базового уровня'!S71</f>
        <v>82561.680000000008</v>
      </c>
      <c r="P71" s="354">
        <f>O71</f>
        <v>82561.680000000008</v>
      </c>
      <c r="Q71" s="323">
        <f>'Расчет базового уровня'!V71</f>
        <v>27520.560000000001</v>
      </c>
      <c r="R71" s="335">
        <f>Q71</f>
        <v>27520.560000000001</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82561.680000000008</v>
      </c>
      <c r="AB71" s="353">
        <f>AA71</f>
        <v>82561.680000000008</v>
      </c>
      <c r="AC71" s="323">
        <f>'Расчет базового уровня'!AN71</f>
        <v>82561.680000000008</v>
      </c>
      <c r="AD71" s="353">
        <f>AC71</f>
        <v>82561.680000000008</v>
      </c>
      <c r="AE71" s="323">
        <f>'Расчет базового уровня'!AQ71</f>
        <v>85313.736000000004</v>
      </c>
      <c r="AF71" s="357">
        <f>AE71</f>
        <v>85313.736000000004</v>
      </c>
      <c r="AG71" s="74"/>
      <c r="AH71" s="74"/>
      <c r="AI71" s="74"/>
      <c r="AJ71" s="74"/>
      <c r="AK71" s="74"/>
      <c r="AL71" s="74"/>
      <c r="AM71" s="74"/>
      <c r="AN71" s="74"/>
      <c r="AO71" s="74"/>
      <c r="AP71" s="74"/>
      <c r="AQ71" s="74"/>
      <c r="AR71" s="74"/>
      <c r="AS71" s="74"/>
      <c r="AT71" s="74"/>
      <c r="AU71" s="74"/>
    </row>
    <row r="72" spans="1:47" ht="17.100000000000001" customHeight="1" thickBot="1" x14ac:dyDescent="0.3">
      <c r="A72" s="358" t="s">
        <v>874</v>
      </c>
      <c r="B72" s="359" t="s">
        <v>1184</v>
      </c>
      <c r="C72" s="360">
        <f>0.86*C71/1000</f>
        <v>523.05576336000001</v>
      </c>
      <c r="D72" s="361">
        <f>C72</f>
        <v>523.05576336000001</v>
      </c>
      <c r="E72" s="74"/>
      <c r="F72" s="74"/>
      <c r="G72" s="362" t="s">
        <v>874</v>
      </c>
      <c r="H72" s="363" t="s">
        <v>1184</v>
      </c>
      <c r="I72" s="364"/>
      <c r="J72" s="365">
        <f>0.86*J71/1000</f>
        <v>73.36981295999999</v>
      </c>
      <c r="K72" s="364"/>
      <c r="L72" s="365">
        <f>0.86*L71/1000</f>
        <v>66.269508479999999</v>
      </c>
      <c r="M72" s="364"/>
      <c r="N72" s="366">
        <f>0.86*N71/1000</f>
        <v>73.36981295999999</v>
      </c>
      <c r="O72" s="364"/>
      <c r="P72" s="367">
        <f>0.86*P71/1000</f>
        <v>71.003044799999998</v>
      </c>
      <c r="Q72" s="364"/>
      <c r="R72" s="368">
        <f>0.86*R71/1000</f>
        <v>23.667681600000002</v>
      </c>
      <c r="S72" s="364"/>
      <c r="T72" s="369">
        <f>0.86*T71/1000</f>
        <v>0</v>
      </c>
      <c r="U72" s="364"/>
      <c r="V72" s="367">
        <f>0.86*V71/1000</f>
        <v>0</v>
      </c>
      <c r="W72" s="364"/>
      <c r="X72" s="370">
        <f>0.86*X71/1000</f>
        <v>0</v>
      </c>
      <c r="Y72" s="364"/>
      <c r="Z72" s="370">
        <f>0.86*Z71/1000</f>
        <v>0</v>
      </c>
      <c r="AA72" s="364"/>
      <c r="AB72" s="369">
        <f>0.86*AB71/1000</f>
        <v>71.003044799999998</v>
      </c>
      <c r="AC72" s="364"/>
      <c r="AD72" s="369">
        <f>0.86*AD71/1000</f>
        <v>71.003044799999998</v>
      </c>
      <c r="AE72" s="364"/>
      <c r="AF72" s="371">
        <f>0.86*AF71/1000</f>
        <v>73.36981295999999</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25">
      <c r="A76" s="350" t="s">
        <v>1208</v>
      </c>
      <c r="B76" s="351" t="s">
        <v>1190</v>
      </c>
      <c r="C76" s="323">
        <f>'Расчет базового уровня'!D76</f>
        <v>103.35860907871812</v>
      </c>
      <c r="D76" s="393">
        <f>D35/('Ввод исходных данных'!$G$45+'Ввод исходных данных'!$D$23)</f>
        <v>66.158950773931352</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x14ac:dyDescent="0.3">
      <c r="A77" s="385" t="s">
        <v>874</v>
      </c>
      <c r="B77" s="397" t="s">
        <v>1209</v>
      </c>
      <c r="C77" s="398">
        <f>C76*0.86/1000</f>
        <v>8.888840380769758E-2</v>
      </c>
      <c r="D77" s="399">
        <f>D76*0.86/1000</f>
        <v>5.6896697665580961E-2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07">
        <f>D38</f>
        <v>1137199.6596898215</v>
      </c>
      <c r="B80" s="408">
        <f>D62</f>
        <v>1004967.9692677301</v>
      </c>
      <c r="C80" s="408">
        <f>D65</f>
        <v>238948.50732448153</v>
      </c>
      <c r="D80" s="409">
        <f>D68</f>
        <v>304102.18800000002</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785" t="s">
        <v>1210</v>
      </c>
      <c r="B82" s="1785"/>
      <c r="C82" s="1785"/>
      <c r="D82" s="1785"/>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x14ac:dyDescent="0.25">
      <c r="A83" s="1815" t="s">
        <v>834</v>
      </c>
      <c r="B83" s="1817" t="s">
        <v>1174</v>
      </c>
      <c r="C83" s="1821" t="s">
        <v>1338</v>
      </c>
      <c r="D83" s="1819" t="s">
        <v>1402</v>
      </c>
      <c r="E83" s="74"/>
      <c r="F83" s="74"/>
      <c r="G83" s="1827" t="s">
        <v>834</v>
      </c>
      <c r="H83" s="1818" t="s">
        <v>1174</v>
      </c>
      <c r="I83" s="1828" t="s">
        <v>488</v>
      </c>
      <c r="J83" s="1829"/>
      <c r="K83" s="1828" t="s">
        <v>489</v>
      </c>
      <c r="L83" s="1829"/>
      <c r="M83" s="1828" t="s">
        <v>490</v>
      </c>
      <c r="N83" s="1829"/>
      <c r="O83" s="1828" t="s">
        <v>491</v>
      </c>
      <c r="P83" s="1829"/>
      <c r="Q83" s="1828" t="s">
        <v>805</v>
      </c>
      <c r="R83" s="1829"/>
      <c r="S83" s="1828" t="s">
        <v>806</v>
      </c>
      <c r="T83" s="1829"/>
      <c r="U83" s="1828" t="s">
        <v>807</v>
      </c>
      <c r="V83" s="1829"/>
      <c r="W83" s="1828" t="s">
        <v>808</v>
      </c>
      <c r="X83" s="1829"/>
      <c r="Y83" s="1828" t="s">
        <v>809</v>
      </c>
      <c r="Z83" s="1829"/>
      <c r="AA83" s="1828" t="s">
        <v>482</v>
      </c>
      <c r="AB83" s="1829"/>
      <c r="AC83" s="1828" t="s">
        <v>486</v>
      </c>
      <c r="AD83" s="1829"/>
      <c r="AE83" s="1828" t="s">
        <v>487</v>
      </c>
      <c r="AF83" s="1829"/>
      <c r="AG83" s="74"/>
      <c r="AH83" s="74"/>
      <c r="AI83" s="74"/>
      <c r="AJ83" s="74"/>
      <c r="AK83" s="74"/>
      <c r="AL83" s="74"/>
      <c r="AM83" s="74"/>
      <c r="AN83" s="74"/>
      <c r="AO83" s="74"/>
      <c r="AP83" s="74"/>
      <c r="AQ83" s="74"/>
      <c r="AR83" s="74"/>
      <c r="AS83" s="74"/>
      <c r="AT83" s="74"/>
      <c r="AU83" s="74"/>
      <c r="AV83" s="74"/>
      <c r="AW83" s="74"/>
    </row>
    <row r="84" spans="1:55" ht="45.75" customHeight="1" x14ac:dyDescent="0.25">
      <c r="A84" s="1816"/>
      <c r="B84" s="1818"/>
      <c r="C84" s="1812"/>
      <c r="D84" s="1820"/>
      <c r="E84" s="74"/>
      <c r="F84" s="74"/>
      <c r="G84" s="1827"/>
      <c r="H84" s="1818"/>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25">
      <c r="A85" s="415" t="s">
        <v>1212</v>
      </c>
      <c r="B85" s="416" t="s">
        <v>842</v>
      </c>
      <c r="C85" s="417">
        <f>'Расчет базового уровня'!D85</f>
        <v>998027.28700000001</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998027.28700000001</v>
      </c>
      <c r="E85" s="317"/>
      <c r="F85" s="419"/>
      <c r="G85" s="420" t="s">
        <v>1213</v>
      </c>
      <c r="H85" s="416" t="s">
        <v>842</v>
      </c>
      <c r="I85" s="421">
        <f>'Расчет базового уровня'!J85</f>
        <v>111711.96500000001</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111711.96500000001</v>
      </c>
      <c r="K85" s="421">
        <f>'Расчет базового уровня'!L85</f>
        <v>121002.00900000001</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121002.00899999998</v>
      </c>
      <c r="M85" s="421">
        <f>'Расчет базового уровня'!N85</f>
        <v>101598.51699999999</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101598.51699999999</v>
      </c>
      <c r="O85" s="421">
        <f>'Расчет базового уровня'!P85</f>
        <v>63674.25</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63674.250000000007</v>
      </c>
      <c r="Q85" s="421">
        <f>'Расчет базового уровня'!R85</f>
        <v>50564.914000000004</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50564.913999999997</v>
      </c>
      <c r="S85" s="421">
        <f>'Расчет базового уровня'!T85</f>
        <v>46632.811000000002</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46632.811000000002</v>
      </c>
      <c r="U85" s="421">
        <f>'Расчет базового уровня'!V85</f>
        <v>59313</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59313.000000000007</v>
      </c>
      <c r="W85" s="421">
        <f>'Расчет базового уровня'!X85</f>
        <v>43031</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43031</v>
      </c>
      <c r="Y85" s="421">
        <f>'Расчет базового уровня'!Z85</f>
        <v>62802</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62802</v>
      </c>
      <c r="AA85" s="421">
        <f>'Расчет базового уровня'!AB85</f>
        <v>95945.173999999999</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95945.173999999999</v>
      </c>
      <c r="AC85" s="421">
        <f>'Расчет базового уровня'!AD85</f>
        <v>128388.22200000001</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128388.22200000001</v>
      </c>
      <c r="AE85" s="421">
        <f>'Расчет базового уровня'!AF85</f>
        <v>113363.42499999999</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113363.42499999999</v>
      </c>
      <c r="AG85" s="74"/>
      <c r="AH85" s="74"/>
      <c r="AI85" s="74"/>
      <c r="AJ85" s="74"/>
      <c r="AK85" s="74"/>
      <c r="AL85" s="74"/>
      <c r="AM85" s="74"/>
      <c r="AN85" s="74"/>
      <c r="AO85" s="74"/>
      <c r="AP85" s="74"/>
      <c r="AQ85" s="74"/>
      <c r="AR85" s="74"/>
      <c r="AS85" s="74"/>
      <c r="AT85" s="74"/>
      <c r="AU85" s="74"/>
      <c r="AV85" s="74"/>
      <c r="AW85" s="74"/>
    </row>
    <row r="86" spans="1:55" x14ac:dyDescent="0.2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705479.43975925935</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25">
      <c r="A87" s="422" t="s">
        <v>874</v>
      </c>
      <c r="B87" s="416" t="s">
        <v>1181</v>
      </c>
      <c r="C87" s="310"/>
      <c r="D87" s="310">
        <f>IF(C85=0,0,D86/C85)</f>
        <v>0</v>
      </c>
      <c r="E87" s="317">
        <f>C85*D90/C90*(1+IF('Список мероприятий'!$AB$38=1,D174,'Расчет базового уровня'!$D$176))/(1+'Расчет базового уровня'!$D$176)+D178/0.86*1000</f>
        <v>998027.28700000001</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25">
      <c r="A90" s="415" t="s">
        <v>1216</v>
      </c>
      <c r="B90" s="416" t="s">
        <v>1217</v>
      </c>
      <c r="C90" s="417">
        <f>'Расчет базового уровня'!D90</f>
        <v>7369</v>
      </c>
      <c r="D90" s="261">
        <f>C90*IF(AND('Система ГВС'!$F$17=0,'Список мероприятий'!$AB$39=1),0.9,1)</f>
        <v>7369</v>
      </c>
      <c r="E90" s="74"/>
      <c r="F90" s="74"/>
      <c r="G90" s="431" t="s">
        <v>1219</v>
      </c>
      <c r="H90" s="416" t="s">
        <v>1217</v>
      </c>
      <c r="I90" s="421">
        <f>'Расчет базового уровня'!J90</f>
        <v>985</v>
      </c>
      <c r="J90" s="261">
        <f>I90*IF(AND('Система ГВС'!$F$17=0,'Список мероприятий'!$AB$39=1),0.9,1)</f>
        <v>985</v>
      </c>
      <c r="K90" s="421">
        <f>'Расчет базового уровня'!L90</f>
        <v>562</v>
      </c>
      <c r="L90" s="261">
        <f>K90*IF(AND('Система ГВС'!$F$17=0,'Список мероприятий'!$AB$39=1),0.9,1)</f>
        <v>562</v>
      </c>
      <c r="M90" s="421">
        <f>'Расчет базового уровня'!N90</f>
        <v>720</v>
      </c>
      <c r="N90" s="261">
        <f>M90*IF(AND('Система ГВС'!$F$17=0,'Список мероприятий'!$AB$39=1),0.9,1)</f>
        <v>720</v>
      </c>
      <c r="O90" s="421">
        <f>'Расчет базового уровня'!P90</f>
        <v>795</v>
      </c>
      <c r="P90" s="261">
        <f>O90*IF(AND('Система ГВС'!$F$17=0,'Список мероприятий'!$AB$39=1),0.9,1)</f>
        <v>795</v>
      </c>
      <c r="Q90" s="421">
        <f>'Расчет базового уровня'!R90</f>
        <v>652</v>
      </c>
      <c r="R90" s="261">
        <f>Q90*IF(AND('Система ГВС'!$F$17=0,'Список мероприятий'!$AB$39=1),0.9,1)</f>
        <v>652</v>
      </c>
      <c r="S90" s="421">
        <f>'Расчет базового уровня'!T90</f>
        <v>659</v>
      </c>
      <c r="T90" s="261">
        <f>S90*IF(AND('Система ГВС'!$F$17=0,'Список мероприятий'!$AB$39=1),0.9,1)</f>
        <v>659</v>
      </c>
      <c r="U90" s="421">
        <f>'Расчет базового уровня'!V90</f>
        <v>589</v>
      </c>
      <c r="V90" s="261">
        <f>U90*IF(AND('Система ГВС'!$F$17=0,'Список мероприятий'!$AB$39=1),0.9,1)</f>
        <v>589</v>
      </c>
      <c r="W90" s="421">
        <f>'Расчет базового уровня'!X90</f>
        <v>352</v>
      </c>
      <c r="X90" s="261">
        <f>W90*IF(AND('Система ГВС'!$F$17=0,'Список мероприятий'!$AB$39=1),0.9,1)</f>
        <v>352</v>
      </c>
      <c r="Y90" s="421">
        <f>'Расчет базового уровня'!Z90</f>
        <v>490</v>
      </c>
      <c r="Z90" s="261">
        <f>Y90*IF(AND('Система ГВС'!$F$17=0,'Список мероприятий'!$AB$39=1),0.9,1)</f>
        <v>490</v>
      </c>
      <c r="AA90" s="421">
        <f>'Расчет базового уровня'!AB90</f>
        <v>663</v>
      </c>
      <c r="AB90" s="261">
        <f>AA90*IF(AND('Система ГВС'!$F$17=0,'Список мероприятий'!$AB$39=1),0.9,1)</f>
        <v>663</v>
      </c>
      <c r="AC90" s="421">
        <f>'Расчет базового уровня'!AD90</f>
        <v>450</v>
      </c>
      <c r="AD90" s="261">
        <f>AC90*IF(AND('Система ГВС'!$F$17=0,'Список мероприятий'!$AB$39=1),0.9,1)</f>
        <v>450</v>
      </c>
      <c r="AE90" s="421">
        <f>'Расчет базового уровня'!AF90</f>
        <v>452</v>
      </c>
      <c r="AF90" s="261">
        <f>AE90*IF(AND('Система ГВС'!$F$17=0,'Список мероприятий'!$AB$39=1),0.9,1)</f>
        <v>452</v>
      </c>
      <c r="AG90" s="74"/>
      <c r="AH90" s="74"/>
      <c r="AI90" s="74"/>
      <c r="AJ90" s="74"/>
      <c r="AK90" s="74"/>
      <c r="AL90" s="74"/>
      <c r="AM90" s="74"/>
      <c r="AN90" s="74"/>
      <c r="AO90" s="74"/>
      <c r="AP90" s="74"/>
      <c r="AQ90" s="74"/>
      <c r="AR90" s="74"/>
      <c r="AS90" s="74"/>
      <c r="AT90" s="74"/>
      <c r="AU90" s="74"/>
      <c r="AV90" s="74"/>
      <c r="AW90" s="74"/>
    </row>
    <row r="91" spans="1:55" x14ac:dyDescent="0.2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2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25">
      <c r="A93" s="432" t="s">
        <v>1221</v>
      </c>
      <c r="B93" s="309" t="s">
        <v>1190</v>
      </c>
      <c r="C93" s="417">
        <f>'Расчет базового уровня'!D93</f>
        <v>35.562672579363522</v>
      </c>
      <c r="D93" s="433">
        <f>D85/('Ввод исходных данных'!$G$45+'Ввод исходных данных'!$D$23)</f>
        <v>31.790079313760774</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25">
      <c r="A98" s="1822" t="s">
        <v>834</v>
      </c>
      <c r="B98" s="1817" t="s">
        <v>1174</v>
      </c>
      <c r="C98" s="1826" t="s">
        <v>1338</v>
      </c>
      <c r="D98" s="1824" t="s">
        <v>1402</v>
      </c>
      <c r="E98" s="74"/>
      <c r="F98" s="74"/>
      <c r="G98" s="1822" t="s">
        <v>834</v>
      </c>
      <c r="H98" s="1817" t="s">
        <v>1174</v>
      </c>
      <c r="I98" s="1817" t="s">
        <v>488</v>
      </c>
      <c r="J98" s="1817"/>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25">
      <c r="A99" s="1823"/>
      <c r="B99" s="1818"/>
      <c r="C99" s="1827"/>
      <c r="D99" s="1825"/>
      <c r="E99" s="74"/>
      <c r="F99" s="74"/>
      <c r="G99" s="1823"/>
      <c r="H99" s="1818"/>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25">
      <c r="A100" s="446" t="s">
        <v>1224</v>
      </c>
      <c r="B100" s="416" t="s">
        <v>842</v>
      </c>
      <c r="C100" s="424">
        <f>'Расчет базового уровня'!D100</f>
        <v>15060</v>
      </c>
      <c r="D100" s="447">
        <f>D102+D104+D106+D111</f>
        <v>17424.647315526068</v>
      </c>
      <c r="E100" s="317"/>
      <c r="F100" s="74"/>
      <c r="G100" s="446" t="s">
        <v>1225</v>
      </c>
      <c r="H100" s="416" t="s">
        <v>842</v>
      </c>
      <c r="I100" s="424">
        <f>'Расчет базового уровня'!J100</f>
        <v>1400</v>
      </c>
      <c r="J100" s="448">
        <f>J102+J104+J106+J111</f>
        <v>2554.7730606698951</v>
      </c>
      <c r="K100" s="424">
        <f>'Расчет базового уровня'!L100</f>
        <v>2250.0000000000005</v>
      </c>
      <c r="L100" s="448">
        <f>L102+L104+L106+L111</f>
        <v>2426.5801887505722</v>
      </c>
      <c r="M100" s="424">
        <f>'Расчет базового уровня'!N100</f>
        <v>1310.0000000000002</v>
      </c>
      <c r="N100" s="448">
        <f>N102+N104+N106+N111</f>
        <v>2443.1277099731192</v>
      </c>
      <c r="O100" s="424">
        <f>'Расчет базового уровня'!P100</f>
        <v>1300</v>
      </c>
      <c r="P100" s="448">
        <f>P102+P104+P106+P111</f>
        <v>2206.5010403787464</v>
      </c>
      <c r="Q100" s="424">
        <f>'Расчет базового уровня'!R100</f>
        <v>600.00000000000011</v>
      </c>
      <c r="R100" s="448">
        <f>R102+R104+R106+R111</f>
        <v>2094.3910639868122</v>
      </c>
      <c r="S100" s="424">
        <f>'Расчет базового уровня'!T100</f>
        <v>700.00000000000011</v>
      </c>
      <c r="T100" s="448">
        <f>T102+T104+T106+T111</f>
        <v>2027.3561305026492</v>
      </c>
      <c r="U100" s="424">
        <f>'Расчет базового уровня'!V100</f>
        <v>1300</v>
      </c>
      <c r="V100" s="449">
        <f>V102+V104+V106+V111</f>
        <v>1652.9561305026491</v>
      </c>
      <c r="W100" s="424">
        <f>'Расчет базового уровня'!X100</f>
        <v>1500.0000000000002</v>
      </c>
      <c r="X100" s="448">
        <f>X102+X104+X106+X111</f>
        <v>2056.1561305026494</v>
      </c>
      <c r="Y100" s="424">
        <f>'Расчет базового уровня'!Z100</f>
        <v>1200.0000000000002</v>
      </c>
      <c r="Z100" s="448">
        <f>Z102+Z104+Z106+Z111</f>
        <v>2027.3561305026492</v>
      </c>
      <c r="AA100" s="424">
        <f>'Расчет базового уровня'!AB100</f>
        <v>1000</v>
      </c>
      <c r="AB100" s="450">
        <f>AB102+AB104+AB106+AB111</f>
        <v>2332.5938577799939</v>
      </c>
      <c r="AC100" s="424">
        <f>'Расчет базового уровня'!AD100</f>
        <v>1300</v>
      </c>
      <c r="AD100" s="424">
        <f>AD102+AD104+AD106+AD111</f>
        <v>2486.1107107883331</v>
      </c>
      <c r="AE100" s="424">
        <f>'Расчет базового уровня'!AF100</f>
        <v>1200</v>
      </c>
      <c r="AF100" s="451">
        <f>AF102+AF104+AF106+AF111</f>
        <v>2520.4656000305704</v>
      </c>
      <c r="AG100" s="74"/>
      <c r="AH100" s="74"/>
      <c r="AI100" s="74"/>
      <c r="AJ100" s="74"/>
      <c r="AK100" s="74"/>
      <c r="AL100" s="74"/>
      <c r="AM100" s="74"/>
      <c r="AN100" s="74"/>
      <c r="AO100" s="74"/>
      <c r="AP100" s="74"/>
      <c r="AQ100" s="74"/>
      <c r="AR100" s="74"/>
    </row>
    <row r="101" spans="1:51" ht="18.95" customHeight="1" x14ac:dyDescent="0.25">
      <c r="A101" s="452" t="s">
        <v>1340</v>
      </c>
      <c r="B101" s="416" t="s">
        <v>1181</v>
      </c>
      <c r="C101" s="428"/>
      <c r="D101" s="453">
        <f>IF(C100=0,0,D100/C100-1)</f>
        <v>0.15701509399243485</v>
      </c>
      <c r="E101" s="74"/>
      <c r="F101" s="74"/>
      <c r="G101" s="452" t="s">
        <v>1340</v>
      </c>
      <c r="H101" s="416" t="s">
        <v>1181</v>
      </c>
      <c r="I101" s="428"/>
      <c r="J101" s="425">
        <f>IF(I100=0,0,J100/I100-1)</f>
        <v>0.82483790047849648</v>
      </c>
      <c r="K101" s="428"/>
      <c r="L101" s="425">
        <f>IF(K100=0,0,L100/K100-1)</f>
        <v>7.8480083889143071E-2</v>
      </c>
      <c r="M101" s="428"/>
      <c r="N101" s="425">
        <f>IF(M100=0,0,N100/M100-1)</f>
        <v>0.8649829847123045</v>
      </c>
      <c r="O101" s="428"/>
      <c r="P101" s="425">
        <f>IF(O100=0,0,P100/O100-1)</f>
        <v>0.69730849259903582</v>
      </c>
      <c r="Q101" s="428"/>
      <c r="R101" s="425">
        <f>IF(Q100=0,0,R100/Q100-1)</f>
        <v>2.4906517733113529</v>
      </c>
      <c r="S101" s="428"/>
      <c r="T101" s="425">
        <f>IF(S100=0,0,T100/S100-1)</f>
        <v>1.8962230435752128</v>
      </c>
      <c r="U101" s="428"/>
      <c r="V101" s="425">
        <f>IF(U100=0,0,V100/U100-1)</f>
        <v>0.27150471577126845</v>
      </c>
      <c r="W101" s="428"/>
      <c r="X101" s="425">
        <f>IF(W100=0,0,X100/W100-1)</f>
        <v>0.37077075366843282</v>
      </c>
      <c r="Y101" s="428"/>
      <c r="Z101" s="425">
        <f>IF(Y100=0,0,Z100/Y100-1)</f>
        <v>0.68946344208554078</v>
      </c>
      <c r="AA101" s="428"/>
      <c r="AB101" s="425">
        <f>IF(AA100=0,0,AB100/AA100-1)</f>
        <v>1.3325938577799938</v>
      </c>
      <c r="AC101" s="428"/>
      <c r="AD101" s="425">
        <f>IF(AC100=0,0,AD100/AC100-1)</f>
        <v>0.91239285445256391</v>
      </c>
      <c r="AE101" s="428"/>
      <c r="AF101" s="453">
        <f>IF(AE100=0,0,AF100/AE100-1)</f>
        <v>1.1003880000254753</v>
      </c>
      <c r="AG101" s="74"/>
      <c r="AH101" s="74"/>
      <c r="AI101" s="74"/>
      <c r="AJ101" s="74"/>
      <c r="AK101" s="74"/>
      <c r="AL101" s="74"/>
      <c r="AM101" s="74"/>
      <c r="AN101" s="74"/>
      <c r="AO101" s="74"/>
      <c r="AP101" s="74"/>
      <c r="AQ101" s="74"/>
      <c r="AR101" s="74"/>
    </row>
    <row r="102" spans="1:51" ht="26.45" customHeight="1" x14ac:dyDescent="0.25">
      <c r="A102" s="454" t="s">
        <v>1226</v>
      </c>
      <c r="B102" s="416" t="s">
        <v>842</v>
      </c>
      <c r="C102" s="424">
        <f>'Расчет базового уровня'!D102</f>
        <v>1155.5156569468772</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1155.5156569468772</v>
      </c>
      <c r="E102" s="455"/>
      <c r="F102" s="74"/>
      <c r="G102" s="454" t="s">
        <v>1226</v>
      </c>
      <c r="H102" s="416" t="s">
        <v>842</v>
      </c>
      <c r="I102" s="424">
        <f>'Расчет базового уровня'!J102</f>
        <v>105.11897419715723</v>
      </c>
      <c r="J102" s="424">
        <f>$D$102/12</f>
        <v>96.292971412239766</v>
      </c>
      <c r="K102" s="424">
        <f>'Расчет базового уровня'!L102</f>
        <v>171.19529671671293</v>
      </c>
      <c r="L102" s="424">
        <f>$D$102/12</f>
        <v>96.292971412239766</v>
      </c>
      <c r="M102" s="424">
        <f>'Расчет базового уровня'!N102</f>
        <v>98.361325855911417</v>
      </c>
      <c r="N102" s="424">
        <f>$D$102/12</f>
        <v>96.292971412239766</v>
      </c>
      <c r="O102" s="424">
        <f>'Расчет базового уровня'!P102</f>
        <v>98.040769286177351</v>
      </c>
      <c r="P102" s="424">
        <f>$D$102/12</f>
        <v>96.292971412239766</v>
      </c>
      <c r="Q102" s="424">
        <f>'Расчет базового уровня'!R102</f>
        <v>46.812474384291519</v>
      </c>
      <c r="R102" s="424">
        <f>$D$102/12</f>
        <v>96.292971412239766</v>
      </c>
      <c r="S102" s="424">
        <f>'Расчет базового уровня'!T102</f>
        <v>55.150876664910832</v>
      </c>
      <c r="T102" s="424">
        <f>$D$102/12</f>
        <v>96.292971412239766</v>
      </c>
      <c r="U102" s="424">
        <f>'Расчет базового уровня'!V102</f>
        <v>104.47497697267424</v>
      </c>
      <c r="V102" s="450">
        <f>$D$102/12</f>
        <v>96.292971412239766</v>
      </c>
      <c r="W102" s="424">
        <f>'Расчет базового уровня'!X102</f>
        <v>117.81341895216947</v>
      </c>
      <c r="X102" s="424">
        <f>$D$102/12</f>
        <v>96.292971412239766</v>
      </c>
      <c r="Y102" s="424">
        <f>'Расчет базового уровня'!Z102</f>
        <v>93.914681457008101</v>
      </c>
      <c r="Z102" s="424">
        <f>$D$102/12</f>
        <v>96.292971412239766</v>
      </c>
      <c r="AA102" s="424">
        <f>'Расчет базового уровня'!AB102</f>
        <v>75.084981569398025</v>
      </c>
      <c r="AB102" s="450">
        <f>$D$102/12</f>
        <v>96.292971412239766</v>
      </c>
      <c r="AC102" s="424">
        <f>'Расчет базового уровня'!AD102</f>
        <v>98.040769286177351</v>
      </c>
      <c r="AD102" s="424">
        <f>$D$102/12</f>
        <v>96.292971412239766</v>
      </c>
      <c r="AE102" s="424">
        <f>'Расчет базового уровня'!AF102</f>
        <v>90.101977883277613</v>
      </c>
      <c r="AF102" s="451">
        <f>$D$102/12</f>
        <v>96.292971412239766</v>
      </c>
      <c r="AG102" s="74"/>
      <c r="AH102" s="74"/>
      <c r="AI102" s="74"/>
      <c r="AJ102" s="74"/>
      <c r="AK102" s="74"/>
      <c r="AL102" s="74"/>
      <c r="AM102" s="74"/>
      <c r="AN102" s="74"/>
      <c r="AO102" s="74"/>
      <c r="AP102" s="74"/>
      <c r="AQ102" s="74"/>
      <c r="AR102" s="74"/>
    </row>
    <row r="103" spans="1:51" x14ac:dyDescent="0.25">
      <c r="A103" s="452" t="s">
        <v>874</v>
      </c>
      <c r="B103" s="416" t="s">
        <v>1181</v>
      </c>
      <c r="C103" s="428"/>
      <c r="D103" s="453">
        <f>IF(C102=0,0,D102/C102-1)</f>
        <v>0</v>
      </c>
      <c r="E103" s="74"/>
      <c r="F103" s="74"/>
      <c r="G103" s="452" t="s">
        <v>1340</v>
      </c>
      <c r="H103" s="416" t="s">
        <v>1181</v>
      </c>
      <c r="I103" s="428"/>
      <c r="J103" s="425">
        <f>IF(I102=0,0,J102/I102-1)</f>
        <v>-8.3962033042329187E-2</v>
      </c>
      <c r="K103" s="428"/>
      <c r="L103" s="425">
        <f>IF(K102=0,0,L102/K102-1)</f>
        <v>-0.43752560228578308</v>
      </c>
      <c r="M103" s="428"/>
      <c r="N103" s="425">
        <f>IF(M102=0,0,N102/M102-1)</f>
        <v>-2.1028126915466405E-2</v>
      </c>
      <c r="O103" s="428"/>
      <c r="P103" s="425">
        <f>IF(O102=0,0,P102/O102-1)</f>
        <v>-1.7827255810649811E-2</v>
      </c>
      <c r="Q103" s="428"/>
      <c r="R103" s="425">
        <f>IF(Q102=0,0,R102/Q102-1)</f>
        <v>1.0569938393291172</v>
      </c>
      <c r="S103" s="428"/>
      <c r="T103" s="425">
        <f>IF(S102=0,0,T102/S102-1)</f>
        <v>0.74599167293935609</v>
      </c>
      <c r="U103" s="428"/>
      <c r="V103" s="425">
        <f>IF(U102=0,0,V102/U102-1)</f>
        <v>-7.8315456940225125E-2</v>
      </c>
      <c r="W103" s="428"/>
      <c r="X103" s="425">
        <f>IF(W102=0,0,X102/W102-1)</f>
        <v>-0.18266550390721359</v>
      </c>
      <c r="Y103" s="428"/>
      <c r="Z103" s="425">
        <f>IF(Y102=0,0,Z102/Y102-1)</f>
        <v>2.5323942096533436E-2</v>
      </c>
      <c r="AA103" s="428"/>
      <c r="AB103" s="425">
        <f>IF(AA102=0,0,AB102/AA102-1)</f>
        <v>0.28245315374073909</v>
      </c>
      <c r="AC103" s="428"/>
      <c r="AD103" s="425">
        <f>IF(AC102=0,0,AD102/AC102-1)</f>
        <v>-1.7827255810649811E-2</v>
      </c>
      <c r="AE103" s="428"/>
      <c r="AF103" s="453">
        <f>IF(AE102=0,0,AF102/AE102-1)</f>
        <v>6.8710961450616059E-2</v>
      </c>
      <c r="AG103" s="74"/>
      <c r="AH103" s="74"/>
      <c r="AI103" s="74"/>
      <c r="AJ103" s="74"/>
      <c r="AK103" s="74"/>
      <c r="AL103" s="74"/>
      <c r="AM103" s="74"/>
      <c r="AN103" s="74"/>
      <c r="AO103" s="74"/>
      <c r="AP103" s="74"/>
      <c r="AQ103" s="74"/>
      <c r="AR103" s="74"/>
    </row>
    <row r="104" spans="1:51" x14ac:dyDescent="0.25">
      <c r="A104" s="454" t="s">
        <v>1233</v>
      </c>
      <c r="B104" s="416" t="s">
        <v>842</v>
      </c>
      <c r="C104" s="424">
        <f>'Расчет базового уровня'!D104</f>
        <v>12140.088086356875</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12140.088086356875</v>
      </c>
      <c r="E104" s="317"/>
      <c r="F104" s="456"/>
      <c r="G104" s="454" t="s">
        <v>1233</v>
      </c>
      <c r="H104" s="416" t="s">
        <v>842</v>
      </c>
      <c r="I104" s="424">
        <f>'Расчет базового уровня'!J104</f>
        <v>1104.4018301516041</v>
      </c>
      <c r="J104" s="424">
        <f>D104/12</f>
        <v>1011.6740071964063</v>
      </c>
      <c r="K104" s="424">
        <f>'Расчет базового уровня'!L104</f>
        <v>1798.6134325538133</v>
      </c>
      <c r="L104" s="424">
        <f>J104</f>
        <v>1011.6740071964063</v>
      </c>
      <c r="M104" s="424">
        <f>'Расчет базового уровня'!N104</f>
        <v>1033.4045696418584</v>
      </c>
      <c r="N104" s="428">
        <f>L104</f>
        <v>1011.6740071964063</v>
      </c>
      <c r="O104" s="424">
        <f>'Расчет базового уровня'!P104</f>
        <v>1030.0367355758842</v>
      </c>
      <c r="P104" s="428">
        <f>N104</f>
        <v>1011.6740071964063</v>
      </c>
      <c r="Q104" s="424">
        <f>'Расчет базового уровня'!R104</f>
        <v>491.82160289131491</v>
      </c>
      <c r="R104" s="428">
        <f>P104</f>
        <v>1011.6740071964063</v>
      </c>
      <c r="S104" s="424">
        <f>'Расчет базового уровня'!T104</f>
        <v>579.42659342313198</v>
      </c>
      <c r="T104" s="428">
        <f>R104</f>
        <v>1011.6740071964063</v>
      </c>
      <c r="U104" s="424">
        <f>'Расчет базового уровня'!V104</f>
        <v>1097.6358612219835</v>
      </c>
      <c r="V104" s="457">
        <f>T104</f>
        <v>1011.6740071964063</v>
      </c>
      <c r="W104" s="424">
        <f>'Расчет базового уровня'!X104</f>
        <v>1237.77230990818</v>
      </c>
      <c r="X104" s="428">
        <f>V104</f>
        <v>1011.6740071964063</v>
      </c>
      <c r="Y104" s="424">
        <f>'Расчет базового уровня'!Z104</f>
        <v>986.68719773360942</v>
      </c>
      <c r="Z104" s="428">
        <f>X104</f>
        <v>1011.6740071964063</v>
      </c>
      <c r="AA104" s="424">
        <f>'Расчет базового уровня'!AB104</f>
        <v>788.85845010828871</v>
      </c>
      <c r="AB104" s="457">
        <f>Z104</f>
        <v>1011.6740071964063</v>
      </c>
      <c r="AC104" s="424">
        <f>'Расчет базового уровня'!AD104</f>
        <v>1030.0367355758842</v>
      </c>
      <c r="AD104" s="428">
        <f>AB104</f>
        <v>1011.6740071964063</v>
      </c>
      <c r="AE104" s="424">
        <f>'Расчет базового уровня'!AF104</f>
        <v>946.63014012994643</v>
      </c>
      <c r="AF104" s="458">
        <f>AD104</f>
        <v>1011.6740071964063</v>
      </c>
      <c r="AG104" s="74"/>
      <c r="AH104" s="74"/>
      <c r="AI104" s="74"/>
      <c r="AJ104" s="74"/>
      <c r="AK104" s="74"/>
      <c r="AL104" s="74"/>
      <c r="AM104" s="74"/>
      <c r="AN104" s="74"/>
      <c r="AO104" s="74"/>
      <c r="AP104" s="74"/>
      <c r="AQ104" s="74"/>
      <c r="AR104" s="74"/>
    </row>
    <row r="105" spans="1:51" x14ac:dyDescent="0.25">
      <c r="A105" s="452" t="s">
        <v>874</v>
      </c>
      <c r="B105" s="416" t="s">
        <v>1181</v>
      </c>
      <c r="C105" s="428"/>
      <c r="D105" s="453">
        <f>IF(C104=0,0,D104/C104-1)</f>
        <v>0</v>
      </c>
      <c r="E105" s="317"/>
      <c r="F105" s="74"/>
      <c r="G105" s="452" t="s">
        <v>1340</v>
      </c>
      <c r="H105" s="416" t="s">
        <v>1181</v>
      </c>
      <c r="I105" s="428"/>
      <c r="J105" s="425">
        <f>IF(I104=0,0,J104/I104-1)</f>
        <v>-8.3962033042329298E-2</v>
      </c>
      <c r="K105" s="428"/>
      <c r="L105" s="425">
        <f>IF(K104=0,0,L104/K104-1)</f>
        <v>-0.43752560228578319</v>
      </c>
      <c r="M105" s="428"/>
      <c r="N105" s="425">
        <f>IF(M104=0,0,N104/M104-1)</f>
        <v>-2.1028126915466627E-2</v>
      </c>
      <c r="O105" s="428"/>
      <c r="P105" s="425">
        <f>IF(O104=0,0,P104/O104-1)</f>
        <v>-1.7827255810649811E-2</v>
      </c>
      <c r="Q105" s="428"/>
      <c r="R105" s="425">
        <f>IF(Q104=0,0,R104/Q104-1)</f>
        <v>1.0569938393291172</v>
      </c>
      <c r="S105" s="428"/>
      <c r="T105" s="425">
        <f>IF(S104=0,0,T104/S104-1)</f>
        <v>0.74599167293935609</v>
      </c>
      <c r="U105" s="428"/>
      <c r="V105" s="425">
        <f>IF(U104=0,0,V104/U104-1)</f>
        <v>-7.8315456940225237E-2</v>
      </c>
      <c r="W105" s="428"/>
      <c r="X105" s="425">
        <f>IF(W104=0,0,X104/W104-1)</f>
        <v>-0.18266550390721381</v>
      </c>
      <c r="Y105" s="428"/>
      <c r="Z105" s="425">
        <f>IF(Y104=0,0,Z104/Y104-1)</f>
        <v>2.5323942096533436E-2</v>
      </c>
      <c r="AA105" s="428"/>
      <c r="AB105" s="425">
        <f>IF(AA104=0,0,AB104/AA104-1)</f>
        <v>0.28245315374073909</v>
      </c>
      <c r="AC105" s="428"/>
      <c r="AD105" s="425">
        <f>IF(AC104=0,0,AD104/AC104-1)</f>
        <v>-1.7827255810649811E-2</v>
      </c>
      <c r="AE105" s="428"/>
      <c r="AF105" s="453">
        <f>IF(AE104=0,0,AF104/AE104-1)</f>
        <v>6.8710961450615837E-2</v>
      </c>
      <c r="AG105" s="74"/>
      <c r="AH105" s="74"/>
      <c r="AI105" s="74"/>
      <c r="AJ105" s="74"/>
      <c r="AK105" s="74"/>
      <c r="AL105" s="74"/>
      <c r="AM105" s="74"/>
      <c r="AN105" s="74"/>
      <c r="AO105" s="74"/>
      <c r="AP105" s="74"/>
      <c r="AQ105" s="74"/>
      <c r="AR105" s="74"/>
    </row>
    <row r="106" spans="1:51" x14ac:dyDescent="0.25">
      <c r="A106" s="454" t="s">
        <v>1235</v>
      </c>
      <c r="B106" s="416" t="s">
        <v>842</v>
      </c>
      <c r="C106" s="424">
        <f>'Расчет базового уровня'!D106</f>
        <v>1764.3962566962491</v>
      </c>
      <c r="D106" s="447">
        <f>D108+D109+D110</f>
        <v>4129.0435722223174</v>
      </c>
      <c r="E106" s="317"/>
      <c r="F106" s="317"/>
      <c r="G106" s="454" t="s">
        <v>1234</v>
      </c>
      <c r="H106" s="416" t="s">
        <v>842</v>
      </c>
      <c r="I106" s="424">
        <f>'Расчет базового уровня'!J106</f>
        <v>190.47919565123848</v>
      </c>
      <c r="J106" s="447">
        <f>J108+J109+J110</f>
        <v>1446.8060820612493</v>
      </c>
      <c r="K106" s="424">
        <f>'Расчет базового уровня'!L106</f>
        <v>280.19127072947407</v>
      </c>
      <c r="L106" s="447">
        <f>L108+L109+L110</f>
        <v>1318.6132101419264</v>
      </c>
      <c r="M106" s="424">
        <f>'Расчет базового уровня'!N106</f>
        <v>178.23410450223034</v>
      </c>
      <c r="N106" s="447">
        <f>N108+N109+N110</f>
        <v>1335.1607313644731</v>
      </c>
      <c r="O106" s="424">
        <f>'Расчет базового уровня'!P106</f>
        <v>171.92249513793854</v>
      </c>
      <c r="P106" s="447">
        <f>P108+P109+P110</f>
        <v>1098.5340617701006</v>
      </c>
      <c r="Q106" s="424">
        <f>'Расчет базового уровня'!R106</f>
        <v>61.365922724393627</v>
      </c>
      <c r="R106" s="447">
        <f>R108+R109+R110</f>
        <v>986.42408537816618</v>
      </c>
      <c r="S106" s="424">
        <f>'Расчет базового уровня'!T106</f>
        <v>65.42252991195727</v>
      </c>
      <c r="T106" s="447">
        <f>T108+T109+T110</f>
        <v>919.38915189400325</v>
      </c>
      <c r="U106" s="424">
        <f>'Расчет базового уровня'!V106</f>
        <v>97.889161805342354</v>
      </c>
      <c r="V106" s="447">
        <f>V108+V109+V110</f>
        <v>544.98915189400316</v>
      </c>
      <c r="W106" s="424">
        <f>'Расчет базового уровня'!X106</f>
        <v>144.41427113965074</v>
      </c>
      <c r="X106" s="447">
        <f>X108+X109+X110</f>
        <v>948.1891518940032</v>
      </c>
      <c r="Y106" s="424">
        <f>'Расчет базового уровня'!Z106</f>
        <v>119.3981208093825</v>
      </c>
      <c r="Z106" s="447">
        <f>Z108+Z109+Z110</f>
        <v>919.38915189400325</v>
      </c>
      <c r="AA106" s="424">
        <f>'Расчет базового уровня'!AB106</f>
        <v>136.05656832231321</v>
      </c>
      <c r="AB106" s="447">
        <f>AB108+AB109+AB110</f>
        <v>1224.6268791713478</v>
      </c>
      <c r="AC106" s="424">
        <f>'Расчет базового уровня'!AD106</f>
        <v>171.92249513793854</v>
      </c>
      <c r="AD106" s="447">
        <f>AD108+AD109+AD110</f>
        <v>1378.143732179687</v>
      </c>
      <c r="AE106" s="424">
        <f>'Расчет базового уровня'!AF106</f>
        <v>163.26788198677588</v>
      </c>
      <c r="AF106" s="447">
        <f>AF108+AF109+AF110</f>
        <v>1412.4986214219241</v>
      </c>
      <c r="AG106" s="74"/>
      <c r="AH106" s="74"/>
      <c r="AI106" s="74"/>
      <c r="AJ106" s="74"/>
      <c r="AK106" s="74"/>
      <c r="AL106" s="74"/>
      <c r="AM106" s="74"/>
      <c r="AN106" s="74"/>
      <c r="AO106" s="74"/>
      <c r="AP106" s="74"/>
      <c r="AQ106" s="74"/>
      <c r="AR106" s="74"/>
    </row>
    <row r="107" spans="1:51" ht="23.25" customHeight="1" x14ac:dyDescent="0.25">
      <c r="A107" s="452" t="s">
        <v>874</v>
      </c>
      <c r="B107" s="416" t="s">
        <v>1181</v>
      </c>
      <c r="C107" s="428"/>
      <c r="D107" s="453">
        <f>IF(C106=0,0,D106/C106-1)</f>
        <v>1.3402019566476309</v>
      </c>
      <c r="E107" s="74"/>
      <c r="F107" s="74"/>
      <c r="G107" s="452" t="s">
        <v>1340</v>
      </c>
      <c r="H107" s="416" t="s">
        <v>1181</v>
      </c>
      <c r="I107" s="428"/>
      <c r="J107" s="425">
        <f>IF(I106=0,0,J106/I106-1)</f>
        <v>6.5956120935658848</v>
      </c>
      <c r="K107" s="428"/>
      <c r="L107" s="425">
        <f>IF(K106=0,0,L106/K106-1)</f>
        <v>3.7061180982153203</v>
      </c>
      <c r="M107" s="428"/>
      <c r="N107" s="425">
        <f>IF(M106=0,0,N106/M106-1)</f>
        <v>6.4910508013788437</v>
      </c>
      <c r="O107" s="428"/>
      <c r="P107" s="425">
        <f>IF(O106=0,0,P106/O106-1)</f>
        <v>5.3897052034331745</v>
      </c>
      <c r="Q107" s="428"/>
      <c r="R107" s="425">
        <f>IF(Q106=0,0,R106/Q106-1)</f>
        <v>15.074460247398054</v>
      </c>
      <c r="S107" s="428"/>
      <c r="T107" s="425">
        <f>IF(S106=0,0,T106/S106-1)</f>
        <v>13.05309689385715</v>
      </c>
      <c r="U107" s="428"/>
      <c r="V107" s="425">
        <f>IF(U106=0,0,V106/U106-1)</f>
        <v>4.567410547224239</v>
      </c>
      <c r="W107" s="428"/>
      <c r="X107" s="425">
        <f>IF(W106=0,0,X106/W106-1)</f>
        <v>5.5657579712263354</v>
      </c>
      <c r="Y107" s="428"/>
      <c r="Z107" s="425">
        <f>IF(Y106=0,0,Z106/Y106-1)</f>
        <v>6.7001978394768518</v>
      </c>
      <c r="AA107" s="428"/>
      <c r="AB107" s="425">
        <f>IF(AA106=0,0,AB106/AA106-1)</f>
        <v>8.0008655537323996</v>
      </c>
      <c r="AC107" s="428"/>
      <c r="AD107" s="425">
        <f>IF(AC106=0,0,AD106/AC106-1)</f>
        <v>7.0160756803463169</v>
      </c>
      <c r="AE107" s="428"/>
      <c r="AF107" s="453">
        <f>IF(AE106=0,0,AF106/AE106-1)</f>
        <v>7.6514175613323108</v>
      </c>
      <c r="AG107" s="74"/>
      <c r="AH107" s="74"/>
      <c r="AI107" s="74"/>
      <c r="AJ107" s="74"/>
      <c r="AK107" s="74"/>
      <c r="AL107" s="74"/>
      <c r="AM107" s="74"/>
      <c r="AN107" s="74"/>
      <c r="AO107" s="74"/>
      <c r="AP107" s="74"/>
      <c r="AQ107" s="74"/>
      <c r="AR107" s="74"/>
    </row>
    <row r="108" spans="1:51" ht="12.75" customHeight="1" x14ac:dyDescent="0.25">
      <c r="A108" s="452" t="s">
        <v>998</v>
      </c>
      <c r="B108" s="416" t="s">
        <v>842</v>
      </c>
      <c r="C108" s="424">
        <f>'Расчет базового уровня'!D108</f>
        <v>402.44392006273051</v>
      </c>
      <c r="D108" s="459">
        <f>'Система электроснабжения'!C51</f>
        <v>2767.0912355887995</v>
      </c>
      <c r="E108" s="419"/>
      <c r="F108" s="74"/>
      <c r="G108" s="452" t="s">
        <v>998</v>
      </c>
      <c r="H108" s="416" t="s">
        <v>842</v>
      </c>
      <c r="I108" s="428"/>
      <c r="J108" s="459">
        <f>'Система электроснабжения'!$E$51</f>
        <v>498.61693016724615</v>
      </c>
      <c r="K108" s="428"/>
      <c r="L108" s="459">
        <f>'Система электроснабжения'!$F$51</f>
        <v>456.82405824792312</v>
      </c>
      <c r="M108" s="428"/>
      <c r="N108" s="459">
        <f>'Система электроснабжения'!$G$50</f>
        <v>386.97157947047015</v>
      </c>
      <c r="O108" s="428"/>
      <c r="P108" s="459">
        <f>'Система электроснабжения'!$H$50</f>
        <v>179.14490987609747</v>
      </c>
      <c r="Q108" s="428"/>
      <c r="R108" s="459">
        <f>'Система электроснабжения'!$I$50</f>
        <v>38.234933484162973</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276.43772727734466</v>
      </c>
      <c r="AC108" s="428"/>
      <c r="AD108" s="459">
        <f>'Система электроснабжения'!$O$50</f>
        <v>458.75458028568391</v>
      </c>
      <c r="AE108" s="428"/>
      <c r="AF108" s="459">
        <f>'Система электроснабжения'!$P$50</f>
        <v>464.30946952792101</v>
      </c>
      <c r="AG108" s="74"/>
      <c r="AH108" s="74"/>
      <c r="AI108" s="74"/>
      <c r="AJ108" s="74"/>
      <c r="AK108" s="74"/>
      <c r="AL108" s="74"/>
      <c r="AM108" s="74"/>
      <c r="AN108" s="74"/>
      <c r="AO108" s="74"/>
      <c r="AP108" s="74"/>
      <c r="AQ108" s="74"/>
      <c r="AR108" s="74"/>
    </row>
    <row r="109" spans="1:51" ht="12.75" customHeight="1" x14ac:dyDescent="0.25">
      <c r="A109" s="452" t="s">
        <v>541</v>
      </c>
      <c r="B109" s="416" t="s">
        <v>842</v>
      </c>
      <c r="C109" s="424">
        <f>'Расчет базового уровня'!D109</f>
        <v>697.2825139054795</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697.2825139054795</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892.8</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806.40000000000009</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892.8</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864</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892.8</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864</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489.59999999999997</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892.8</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864</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892.8</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864</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892.8</v>
      </c>
      <c r="AG109" s="74"/>
      <c r="AH109" s="74"/>
      <c r="AI109" s="74"/>
      <c r="AJ109" s="74"/>
      <c r="AK109" s="74"/>
      <c r="AL109" s="74"/>
      <c r="AM109" s="74"/>
      <c r="AN109" s="74"/>
      <c r="AO109" s="74"/>
      <c r="AP109" s="74"/>
      <c r="AQ109" s="74"/>
      <c r="AR109" s="74"/>
    </row>
    <row r="110" spans="1:51" ht="12.75" customHeight="1" x14ac:dyDescent="0.25">
      <c r="A110" s="452" t="s">
        <v>1351</v>
      </c>
      <c r="B110" s="416" t="s">
        <v>842</v>
      </c>
      <c r="C110" s="424">
        <f>'Расчет базового уровня'!D110</f>
        <v>664.66982272803887</v>
      </c>
      <c r="D110" s="459">
        <f>IF(OR('Список мероприятий'!$AB$45=1,'Список мероприятий'!$AB$50=1),0.9*'Расчет базового уровня'!D110,'Расчет базового уровня'!D110)*IF('Список мероприятий'!AB52=1,0.957,1)</f>
        <v>664.66982272803887</v>
      </c>
      <c r="E110" s="74"/>
      <c r="F110" s="74"/>
      <c r="G110" s="452" t="s">
        <v>1351</v>
      </c>
      <c r="H110" s="416" t="s">
        <v>842</v>
      </c>
      <c r="I110" s="428"/>
      <c r="J110" s="459">
        <f>$D$110/12</f>
        <v>55.389151894003241</v>
      </c>
      <c r="K110" s="428"/>
      <c r="L110" s="459">
        <f>$D$110/12</f>
        <v>55.389151894003241</v>
      </c>
      <c r="M110" s="428"/>
      <c r="N110" s="459">
        <f>$D$110/12</f>
        <v>55.389151894003241</v>
      </c>
      <c r="O110" s="428"/>
      <c r="P110" s="459">
        <f>$D$110/12</f>
        <v>55.389151894003241</v>
      </c>
      <c r="Q110" s="428"/>
      <c r="R110" s="459">
        <f>$D$110/12</f>
        <v>55.389151894003241</v>
      </c>
      <c r="S110" s="428"/>
      <c r="T110" s="459">
        <f>$D$110/12</f>
        <v>55.389151894003241</v>
      </c>
      <c r="U110" s="428"/>
      <c r="V110" s="459">
        <f>$D$110/12</f>
        <v>55.389151894003241</v>
      </c>
      <c r="W110" s="428"/>
      <c r="X110" s="459">
        <f>$D$110/12</f>
        <v>55.389151894003241</v>
      </c>
      <c r="Y110" s="428"/>
      <c r="Z110" s="459">
        <f>$D$110/12</f>
        <v>55.389151894003241</v>
      </c>
      <c r="AA110" s="428"/>
      <c r="AB110" s="459">
        <f>$D$110/12</f>
        <v>55.389151894003241</v>
      </c>
      <c r="AC110" s="428"/>
      <c r="AD110" s="459">
        <f>$D$110/12</f>
        <v>55.389151894003241</v>
      </c>
      <c r="AE110" s="428"/>
      <c r="AF110" s="459">
        <f>$D$110/12</f>
        <v>55.389151894003241</v>
      </c>
      <c r="AG110" s="74"/>
      <c r="AH110" s="74"/>
      <c r="AI110" s="74"/>
      <c r="AJ110" s="74"/>
      <c r="AK110" s="74"/>
      <c r="AL110" s="74"/>
      <c r="AM110" s="74"/>
      <c r="AN110" s="74"/>
      <c r="AO110" s="74"/>
      <c r="AP110" s="74"/>
      <c r="AQ110" s="74"/>
      <c r="AR110" s="74"/>
    </row>
    <row r="111" spans="1:51" ht="25.5" customHeight="1" x14ac:dyDescent="0.25">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2" t="s">
        <v>1230</v>
      </c>
      <c r="B115" s="463" t="s">
        <v>1190</v>
      </c>
      <c r="C115" s="464">
        <f>'Расчет базового уровня'!D115</f>
        <v>0.4797049145864058</v>
      </c>
      <c r="D115" s="465">
        <f>D100/('Ввод исходных данных'!$G$45+'Ввод исходных данных'!$D$23)</f>
        <v>0.55502582683882318</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25">
      <c r="A134" s="480" t="s">
        <v>514</v>
      </c>
      <c r="B134" s="481">
        <f>'Расчет базового уровня'!B134</f>
        <v>12544</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3.5735350000000001</v>
      </c>
      <c r="D134" s="481">
        <v>1</v>
      </c>
      <c r="E134" s="483">
        <f>IF(C134=0,0,B134/C134*D134)*(1-D163)</f>
        <v>3510.2496547536261</v>
      </c>
      <c r="F134" s="484">
        <f>E134*(20-$D$145)</f>
        <v>200084.2303209567</v>
      </c>
      <c r="G134" s="483">
        <f t="shared" ref="G134:R134" si="0">$E$134*0.024*G$147</f>
        <v>89839.92556390239</v>
      </c>
      <c r="H134" s="483">
        <f t="shared" si="0"/>
        <v>82089.294326206393</v>
      </c>
      <c r="I134" s="483">
        <f t="shared" si="0"/>
        <v>72080.870510572859</v>
      </c>
      <c r="J134" s="483">
        <f t="shared" si="0"/>
        <v>38416.172221623681</v>
      </c>
      <c r="K134" s="483">
        <f t="shared" si="0"/>
        <v>10109.519005690443</v>
      </c>
      <c r="L134" s="483">
        <f t="shared" si="0"/>
        <v>0</v>
      </c>
      <c r="M134" s="483">
        <f t="shared" si="0"/>
        <v>0</v>
      </c>
      <c r="N134" s="483">
        <f t="shared" si="0"/>
        <v>0</v>
      </c>
      <c r="O134" s="483">
        <f t="shared" si="0"/>
        <v>0</v>
      </c>
      <c r="P134" s="483">
        <f t="shared" si="0"/>
        <v>54085.926680443874</v>
      </c>
      <c r="Q134" s="483">
        <f t="shared" si="0"/>
        <v>83150.793821803891</v>
      </c>
      <c r="R134" s="483">
        <f t="shared" si="0"/>
        <v>84355.511503315342</v>
      </c>
      <c r="S134" s="485"/>
      <c r="T134" s="74"/>
      <c r="U134" s="74"/>
      <c r="V134" s="74"/>
      <c r="W134" s="74"/>
      <c r="X134" s="74"/>
      <c r="Y134" s="74"/>
      <c r="Z134" s="74"/>
      <c r="AA134" s="74"/>
      <c r="AB134" s="74"/>
    </row>
    <row r="135" spans="1:55" x14ac:dyDescent="0.25">
      <c r="A135" s="480" t="s">
        <v>611</v>
      </c>
      <c r="B135" s="481">
        <f>'Расчет базового уровня'!B135</f>
        <v>1520</v>
      </c>
      <c r="C135" s="481">
        <f>'Расчет базового уровня'!C135</f>
        <v>0.52</v>
      </c>
      <c r="D135" s="481">
        <v>1</v>
      </c>
      <c r="E135" s="483">
        <f t="shared" ref="E135:E141" si="1">IF(C135=0,0,B135/C135*D135)</f>
        <v>2923.0769230769229</v>
      </c>
      <c r="F135" s="484">
        <f t="shared" ref="F135:F143" si="2">E135*(20-$D$145)</f>
        <v>166615.3846153846</v>
      </c>
      <c r="G135" s="483">
        <f t="shared" ref="G135:R135" si="3">$E$135*0.024*G$147</f>
        <v>74812.061538461523</v>
      </c>
      <c r="H135" s="483">
        <f t="shared" si="3"/>
        <v>68357.907692307679</v>
      </c>
      <c r="I135" s="483">
        <f t="shared" si="3"/>
        <v>60023.630769230767</v>
      </c>
      <c r="J135" s="483">
        <f t="shared" si="3"/>
        <v>31990.153846153844</v>
      </c>
      <c r="K135" s="483">
        <f t="shared" si="3"/>
        <v>8418.4615384615372</v>
      </c>
      <c r="L135" s="483">
        <f t="shared" si="3"/>
        <v>0</v>
      </c>
      <c r="M135" s="483">
        <f t="shared" si="3"/>
        <v>0</v>
      </c>
      <c r="N135" s="483">
        <f t="shared" si="3"/>
        <v>0</v>
      </c>
      <c r="O135" s="483">
        <f t="shared" si="3"/>
        <v>0</v>
      </c>
      <c r="P135" s="483">
        <f t="shared" si="3"/>
        <v>45038.769230769227</v>
      </c>
      <c r="Q135" s="483">
        <f t="shared" si="3"/>
        <v>69241.846153846142</v>
      </c>
      <c r="R135" s="483">
        <f t="shared" si="3"/>
        <v>70245.046153846139</v>
      </c>
      <c r="S135" s="485"/>
      <c r="T135" s="74"/>
      <c r="U135" s="74"/>
      <c r="V135" s="74"/>
      <c r="W135" s="74"/>
      <c r="X135" s="74"/>
      <c r="Y135" s="74"/>
      <c r="Z135" s="74"/>
      <c r="AA135" s="74"/>
      <c r="AB135" s="74"/>
    </row>
    <row r="136" spans="1:55" x14ac:dyDescent="0.25">
      <c r="A136" s="480" t="s">
        <v>612</v>
      </c>
      <c r="B136" s="481">
        <f>'Расчет базового уровня'!B136</f>
        <v>190</v>
      </c>
      <c r="C136" s="481">
        <f>IF('Список мероприятий'!AB14=1,VLOOKUP('Список мероприятий'!D15,'Библиотека технологий'!A40:B47,2,0),'Расчет базового уровня'!C136)</f>
        <v>0.4</v>
      </c>
      <c r="D136" s="481">
        <v>1</v>
      </c>
      <c r="E136" s="483">
        <f t="shared" si="1"/>
        <v>475</v>
      </c>
      <c r="F136" s="484">
        <f t="shared" si="2"/>
        <v>27075</v>
      </c>
      <c r="G136" s="483">
        <f t="shared" ref="G136:R136" si="4">$E$136*0.024*G$147</f>
        <v>12156.96</v>
      </c>
      <c r="H136" s="483">
        <f t="shared" si="4"/>
        <v>11108.159999999998</v>
      </c>
      <c r="I136" s="483">
        <f t="shared" si="4"/>
        <v>9753.84</v>
      </c>
      <c r="J136" s="483">
        <f t="shared" si="4"/>
        <v>5198.4000000000005</v>
      </c>
      <c r="K136" s="483">
        <f t="shared" si="4"/>
        <v>1368</v>
      </c>
      <c r="L136" s="483">
        <f t="shared" si="4"/>
        <v>0</v>
      </c>
      <c r="M136" s="483">
        <f t="shared" si="4"/>
        <v>0</v>
      </c>
      <c r="N136" s="483">
        <f t="shared" si="4"/>
        <v>0</v>
      </c>
      <c r="O136" s="483">
        <f t="shared" si="4"/>
        <v>0</v>
      </c>
      <c r="P136" s="483">
        <f t="shared" si="4"/>
        <v>7318.8</v>
      </c>
      <c r="Q136" s="483">
        <f t="shared" si="4"/>
        <v>11251.800000000001</v>
      </c>
      <c r="R136" s="483">
        <f t="shared" si="4"/>
        <v>11414.82</v>
      </c>
      <c r="S136" s="485"/>
      <c r="T136" s="74"/>
      <c r="U136" s="74"/>
      <c r="V136" s="74"/>
      <c r="W136" s="74"/>
      <c r="X136" s="74"/>
      <c r="Y136" s="74"/>
      <c r="Z136" s="74"/>
      <c r="AA136" s="74"/>
      <c r="AB136" s="74"/>
    </row>
    <row r="137" spans="1:55" x14ac:dyDescent="0.25">
      <c r="A137" s="480" t="s">
        <v>1588</v>
      </c>
      <c r="B137" s="483">
        <f>'Расчет базового уровня'!B137</f>
        <v>190</v>
      </c>
      <c r="C137" s="486">
        <f>'Расчет базового уровня'!C137</f>
        <v>0.4</v>
      </c>
      <c r="D137" s="483">
        <f>'Расчет базового уровня'!D137</f>
        <v>1</v>
      </c>
      <c r="E137" s="483">
        <f>'Расчет базового уровня'!E137</f>
        <v>475</v>
      </c>
      <c r="F137" s="484">
        <f t="shared" si="2"/>
        <v>27075</v>
      </c>
      <c r="G137" s="483">
        <f>'Расчет базового уровня'!G137</f>
        <v>13181.82</v>
      </c>
      <c r="H137" s="483">
        <f>'Расчет базового уровня'!H137</f>
        <v>11395.440000000002</v>
      </c>
      <c r="I137" s="483">
        <f>'Расчет базового уровня'!I137</f>
        <v>10036.56</v>
      </c>
      <c r="J137" s="483">
        <f>'Расчет базового уровня'!J137</f>
        <v>6087.6</v>
      </c>
      <c r="K137" s="483">
        <f>'Расчет базового уровня'!K137</f>
        <v>456.57000000000005</v>
      </c>
      <c r="L137" s="483">
        <f>'Расчет базового уровня'!L137</f>
        <v>0</v>
      </c>
      <c r="M137" s="483">
        <f>'Расчет базового уровня'!M137</f>
        <v>0</v>
      </c>
      <c r="N137" s="483">
        <f>'Расчет базового уровня'!N137</f>
        <v>0</v>
      </c>
      <c r="O137" s="483">
        <f>'Расчет базового уровня'!O137</f>
        <v>502.74</v>
      </c>
      <c r="P137" s="483">
        <f>'Расчет базового уровня'!P137</f>
        <v>6184.5</v>
      </c>
      <c r="Q137" s="483">
        <f>'Расчет базового уровня'!Q137</f>
        <v>9370.8000000000011</v>
      </c>
      <c r="R137" s="483">
        <f>'Расчет базового уровня'!R137</f>
        <v>12192.300000000001</v>
      </c>
      <c r="S137" s="485"/>
      <c r="T137" s="74"/>
      <c r="U137" s="74"/>
      <c r="V137" s="74"/>
      <c r="W137" s="74"/>
      <c r="X137" s="74"/>
      <c r="Y137" s="74"/>
      <c r="Z137" s="74"/>
      <c r="AA137" s="74"/>
      <c r="AB137" s="74"/>
    </row>
    <row r="138" spans="1:55" x14ac:dyDescent="0.25">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6.3050500000000005</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25">
      <c r="A139" s="480" t="s">
        <v>1330</v>
      </c>
      <c r="B139" s="481">
        <f>IF('Список мероприятий'!AB24=0,'Расчет базового уровня'!B139,'Расчет базового уровня'!B140+'Расчет базового уровня'!B139)</f>
        <v>4399.2</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5.6945449999999997</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695.27591756672393</v>
      </c>
      <c r="F139" s="484">
        <f t="shared" si="2"/>
        <v>39630.727301303261</v>
      </c>
      <c r="G139" s="483">
        <f t="shared" ref="G139:R140" si="6">$E$139*0.024*G$147</f>
        <v>17794.613723835701</v>
      </c>
      <c r="H139" s="483">
        <f t="shared" si="6"/>
        <v>16259.444497848375</v>
      </c>
      <c r="I139" s="483">
        <f t="shared" si="6"/>
        <v>14277.073801682134</v>
      </c>
      <c r="J139" s="483">
        <f t="shared" si="6"/>
        <v>7609.0996418502264</v>
      </c>
      <c r="K139" s="483">
        <f t="shared" si="6"/>
        <v>2002.3946425921647</v>
      </c>
      <c r="L139" s="483">
        <f t="shared" si="6"/>
        <v>0</v>
      </c>
      <c r="M139" s="483">
        <f t="shared" si="6"/>
        <v>0</v>
      </c>
      <c r="N139" s="483">
        <f t="shared" si="6"/>
        <v>0</v>
      </c>
      <c r="O139" s="483">
        <f t="shared" si="6"/>
        <v>0</v>
      </c>
      <c r="P139" s="483">
        <f t="shared" si="6"/>
        <v>10712.811337868081</v>
      </c>
      <c r="Q139" s="483">
        <f t="shared" si="6"/>
        <v>16469.695935320557</v>
      </c>
      <c r="R139" s="483">
        <f t="shared" si="6"/>
        <v>16708.314630229455</v>
      </c>
      <c r="S139" s="485"/>
      <c r="T139" s="74"/>
      <c r="U139" s="74"/>
      <c r="V139" s="74"/>
      <c r="W139" s="74"/>
      <c r="X139" s="74"/>
      <c r="Y139" s="74"/>
      <c r="Z139" s="74"/>
      <c r="AA139" s="74"/>
      <c r="AB139" s="74"/>
    </row>
    <row r="140" spans="1:55" x14ac:dyDescent="0.25">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5.6945449999999997</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0</v>
      </c>
      <c r="F140" s="484">
        <f t="shared" si="2"/>
        <v>0</v>
      </c>
      <c r="G140" s="483">
        <f t="shared" si="6"/>
        <v>17794.613723835701</v>
      </c>
      <c r="H140" s="483">
        <f t="shared" si="6"/>
        <v>16259.444497848375</v>
      </c>
      <c r="I140" s="483">
        <f t="shared" si="6"/>
        <v>14277.073801682134</v>
      </c>
      <c r="J140" s="483">
        <f t="shared" si="6"/>
        <v>7609.0996418502264</v>
      </c>
      <c r="K140" s="483">
        <f t="shared" si="6"/>
        <v>2002.3946425921647</v>
      </c>
      <c r="L140" s="483">
        <f t="shared" si="6"/>
        <v>0</v>
      </c>
      <c r="M140" s="483">
        <f t="shared" si="6"/>
        <v>0</v>
      </c>
      <c r="N140" s="483">
        <f t="shared" si="6"/>
        <v>0</v>
      </c>
      <c r="O140" s="483">
        <f t="shared" si="6"/>
        <v>0</v>
      </c>
      <c r="P140" s="483">
        <f t="shared" si="6"/>
        <v>10712.811337868081</v>
      </c>
      <c r="Q140" s="483">
        <f t="shared" si="6"/>
        <v>16469.695935320557</v>
      </c>
      <c r="R140" s="483">
        <f t="shared" si="6"/>
        <v>16708.314630229455</v>
      </c>
      <c r="S140" s="485"/>
      <c r="T140" s="74"/>
      <c r="U140" s="74"/>
      <c r="V140" s="74"/>
      <c r="W140" s="74"/>
      <c r="X140" s="74"/>
      <c r="Y140" s="74"/>
      <c r="Z140" s="74"/>
      <c r="AA140" s="74"/>
      <c r="AB140" s="74"/>
    </row>
    <row r="141" spans="1:55" x14ac:dyDescent="0.2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2.0919540229885056</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25">
      <c r="A142" s="480" t="s">
        <v>1328</v>
      </c>
      <c r="B142" s="481">
        <f>'Расчет базового уровня'!B142</f>
        <v>4399</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5.6945449999999997</v>
      </c>
      <c r="D142" s="486">
        <f>('Ввод исходных данных'!D83-'Расчет базового уровня'!$D$160)/('Ввод исходных данных'!D83-'Расчет базового уровня'!$D$145)</f>
        <v>0.31578947368421051</v>
      </c>
      <c r="E142" s="483">
        <f>IF(C142=0,0,B142/C142*D142)</f>
        <v>243.94537135747319</v>
      </c>
      <c r="F142" s="484">
        <f t="shared" si="2"/>
        <v>13904.886167375971</v>
      </c>
      <c r="G142" s="483">
        <f t="shared" ref="G142:R142" si="8">$E$142*0.024*G$147</f>
        <v>6243.4402563746253</v>
      </c>
      <c r="H142" s="483">
        <f t="shared" si="8"/>
        <v>5704.8088764173244</v>
      </c>
      <c r="I142" s="483">
        <f t="shared" si="8"/>
        <v>5009.2718336028975</v>
      </c>
      <c r="J142" s="483">
        <f t="shared" si="8"/>
        <v>2669.7381441361867</v>
      </c>
      <c r="K142" s="483">
        <f t="shared" si="8"/>
        <v>702.56266950952272</v>
      </c>
      <c r="L142" s="483">
        <f t="shared" si="8"/>
        <v>0</v>
      </c>
      <c r="M142" s="483">
        <f t="shared" si="8"/>
        <v>0</v>
      </c>
      <c r="N142" s="483">
        <f t="shared" si="8"/>
        <v>0</v>
      </c>
      <c r="O142" s="483">
        <f t="shared" si="8"/>
        <v>0</v>
      </c>
      <c r="P142" s="483">
        <f t="shared" si="8"/>
        <v>3758.7102818759467</v>
      </c>
      <c r="Q142" s="483">
        <f t="shared" si="8"/>
        <v>5778.5779567158252</v>
      </c>
      <c r="R142" s="483">
        <f t="shared" si="8"/>
        <v>5862.3000081657092</v>
      </c>
      <c r="S142" s="485"/>
      <c r="T142" s="74"/>
      <c r="U142" s="74"/>
      <c r="V142" s="74"/>
      <c r="W142" s="74"/>
      <c r="X142" s="74"/>
      <c r="Y142" s="74"/>
      <c r="Z142" s="74"/>
      <c r="AA142" s="74"/>
      <c r="AB142" s="74"/>
    </row>
    <row r="143" spans="1:55" x14ac:dyDescent="0.25">
      <c r="A143" s="480" t="s">
        <v>1231</v>
      </c>
      <c r="B143" s="481">
        <f>'Расчет базового уровня'!B143</f>
        <v>56</v>
      </c>
      <c r="C143" s="481">
        <f>IF('Список мероприятий'!AB73=1,0.95,'Расчет базового уровня'!C143)</f>
        <v>0.95</v>
      </c>
      <c r="D143" s="486">
        <v>1</v>
      </c>
      <c r="E143" s="483">
        <f>IF(C143=0,0,B143/C143*D143)</f>
        <v>58.947368421052637</v>
      </c>
      <c r="F143" s="484">
        <f t="shared" si="2"/>
        <v>3360.0000000000005</v>
      </c>
      <c r="G143" s="483">
        <f>$E$143*0.024*G$147</f>
        <v>1508.6753684210526</v>
      </c>
      <c r="H143" s="483">
        <f t="shared" ref="H143:R143" si="9">$E$143*0.024*H$147</f>
        <v>1378.5195789473685</v>
      </c>
      <c r="I143" s="483">
        <f t="shared" si="9"/>
        <v>1210.4488421052633</v>
      </c>
      <c r="J143" s="483">
        <f t="shared" si="9"/>
        <v>645.12000000000012</v>
      </c>
      <c r="K143" s="483">
        <f t="shared" si="9"/>
        <v>169.7684210526316</v>
      </c>
      <c r="L143" s="483">
        <f t="shared" si="9"/>
        <v>0</v>
      </c>
      <c r="M143" s="483">
        <f t="shared" si="9"/>
        <v>0</v>
      </c>
      <c r="N143" s="483">
        <f t="shared" si="9"/>
        <v>0</v>
      </c>
      <c r="O143" s="483">
        <f t="shared" si="9"/>
        <v>0</v>
      </c>
      <c r="P143" s="483">
        <f t="shared" si="9"/>
        <v>908.26105263157899</v>
      </c>
      <c r="Q143" s="483">
        <f t="shared" si="9"/>
        <v>1396.3452631578948</v>
      </c>
      <c r="R143" s="483">
        <f t="shared" si="9"/>
        <v>1416.576</v>
      </c>
      <c r="S143" s="485"/>
      <c r="T143" s="74"/>
      <c r="U143" s="74"/>
      <c r="V143" s="74"/>
      <c r="W143" s="74"/>
      <c r="X143" s="74"/>
      <c r="Y143" s="74"/>
      <c r="Z143" s="74"/>
      <c r="AA143" s="74"/>
      <c r="AB143" s="74"/>
    </row>
    <row r="144" spans="1:55" x14ac:dyDescent="0.25">
      <c r="A144" s="480" t="s">
        <v>515</v>
      </c>
      <c r="B144" s="481">
        <f>SUM(B134:B142)</f>
        <v>23242.2</v>
      </c>
      <c r="C144" s="481"/>
      <c r="D144" s="481"/>
      <c r="E144" s="483">
        <f>SUM(E134:E143)</f>
        <v>8381.4952351758002</v>
      </c>
      <c r="F144" s="484">
        <f>E144*(20-$D$145)/1000</f>
        <v>477.74522840502061</v>
      </c>
      <c r="G144" s="483">
        <f>SUM(G134:G143)</f>
        <v>233332.11017483097</v>
      </c>
      <c r="H144" s="483">
        <f t="shared" ref="H144:R144" si="10">SUM(H134:H143)</f>
        <v>212553.01946957549</v>
      </c>
      <c r="I144" s="483">
        <f t="shared" si="10"/>
        <v>186668.76955887603</v>
      </c>
      <c r="J144" s="483">
        <f t="shared" si="10"/>
        <v>100225.38349561417</v>
      </c>
      <c r="K144" s="483">
        <f t="shared" si="10"/>
        <v>25229.670919898461</v>
      </c>
      <c r="L144" s="483">
        <f t="shared" si="10"/>
        <v>0</v>
      </c>
      <c r="M144" s="483">
        <f t="shared" si="10"/>
        <v>0</v>
      </c>
      <c r="N144" s="483">
        <f t="shared" si="10"/>
        <v>0</v>
      </c>
      <c r="O144" s="483">
        <f t="shared" si="10"/>
        <v>502.74</v>
      </c>
      <c r="P144" s="483">
        <f t="shared" si="10"/>
        <v>138720.58992145679</v>
      </c>
      <c r="Q144" s="483">
        <f t="shared" si="10"/>
        <v>213129.55506616482</v>
      </c>
      <c r="R144" s="483">
        <f t="shared" si="10"/>
        <v>218903.18292578612</v>
      </c>
      <c r="S144" s="485"/>
      <c r="T144" s="74"/>
      <c r="U144" s="74"/>
      <c r="V144" s="74"/>
      <c r="W144" s="74"/>
      <c r="X144" s="74"/>
      <c r="Y144" s="74"/>
      <c r="Z144" s="74"/>
      <c r="AA144" s="74"/>
      <c r="AB144" s="74"/>
    </row>
    <row r="145" spans="1:28" x14ac:dyDescent="0.25">
      <c r="A145" s="74"/>
      <c r="B145" s="488" t="s">
        <v>742</v>
      </c>
      <c r="C145" s="489" t="s">
        <v>747</v>
      </c>
      <c r="D145" s="481">
        <f>VLOOKUP(CONCATENATE('Ввод исходных данных'!$D$10,'Ввод исходных данных'!$D$11),Климатология!$D$9:$BF$548,4,0)</f>
        <v>-37</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88" t="s">
        <v>1405</v>
      </c>
      <c r="C146" s="489" t="s">
        <v>748</v>
      </c>
      <c r="D146" s="481">
        <f>'Ввод исходных данных'!D246</f>
        <v>221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30</v>
      </c>
      <c r="K146" s="490">
        <f>'Ввод исходных данных'!$I$256</f>
        <v>10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30</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25">
      <c r="A147" s="74"/>
      <c r="B147" s="488" t="s">
        <v>462</v>
      </c>
      <c r="C147" s="489" t="s">
        <v>749</v>
      </c>
      <c r="D147" s="481">
        <f>'Ввод исходных данных'!G264</f>
        <v>6102.7</v>
      </c>
      <c r="E147" s="74"/>
      <c r="F147" s="74"/>
      <c r="G147" s="490">
        <f>'Ввод исходных данных'!$G$252</f>
        <v>1066.3999999999999</v>
      </c>
      <c r="H147" s="490">
        <f>'Ввод исходных данных'!$G$253</f>
        <v>974.39999999999986</v>
      </c>
      <c r="I147" s="490">
        <f>'Ввод исходных данных'!$G$254</f>
        <v>855.6</v>
      </c>
      <c r="J147" s="490">
        <f>'Ввод исходных данных'!$G$255</f>
        <v>456</v>
      </c>
      <c r="K147" s="490">
        <f>'Ввод исходных данных'!$G$256</f>
        <v>120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642</v>
      </c>
      <c r="Q147" s="490">
        <f>'Ввод исходных данных'!$G$262</f>
        <v>987</v>
      </c>
      <c r="R147" s="490">
        <f>'Ввод исходных данных'!$G$263</f>
        <v>1001.3</v>
      </c>
      <c r="S147" s="74"/>
      <c r="T147" s="74"/>
      <c r="U147" s="74"/>
      <c r="V147" s="74"/>
      <c r="W147" s="74"/>
      <c r="X147" s="74"/>
      <c r="Y147" s="74"/>
      <c r="Z147" s="74"/>
      <c r="AA147" s="74"/>
      <c r="AB147" s="74"/>
    </row>
    <row r="148" spans="1:28" x14ac:dyDescent="0.25">
      <c r="A148" s="491" t="s">
        <v>497</v>
      </c>
      <c r="B148" s="492" t="s">
        <v>531</v>
      </c>
      <c r="C148" s="493" t="s">
        <v>498</v>
      </c>
      <c r="D148" s="494">
        <f>IF(D149&gt;45,10,IF(D149&lt;=20,17,17-(D149-20)*7/25))</f>
        <v>10</v>
      </c>
      <c r="E148" s="74"/>
      <c r="F148" s="495">
        <f>17*D150/1000</f>
        <v>194.93729999999999</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1" t="s">
        <v>499</v>
      </c>
      <c r="B149" s="492" t="s">
        <v>500</v>
      </c>
      <c r="C149" s="493" t="s">
        <v>501</v>
      </c>
      <c r="D149" s="496">
        <f>'Ввод исходных данных'!G45/'Ввод исходных данных'!$D$22</f>
        <v>81.581104651162789</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6" t="s">
        <v>1403</v>
      </c>
      <c r="B150" s="492" t="s">
        <v>1404</v>
      </c>
      <c r="C150" s="497" t="s">
        <v>492</v>
      </c>
      <c r="D150" s="496">
        <f>'Расчет базового уровня'!D150</f>
        <v>11466.9</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498" t="s">
        <v>512</v>
      </c>
      <c r="B151" s="499" t="s">
        <v>522</v>
      </c>
      <c r="C151" s="497" t="s">
        <v>526</v>
      </c>
      <c r="D151" s="500">
        <v>30</v>
      </c>
      <c r="E151" s="74"/>
      <c r="F151" s="495">
        <f>(D151*D152*'Ввод исходных данных'!$D$22*0.28+D189*0.28)*1.006*0.001*(20+25)+E161*(20+25)</f>
        <v>577.85477780591998</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1" t="s">
        <v>527</v>
      </c>
      <c r="B158" s="492" t="s">
        <v>532</v>
      </c>
      <c r="C158" s="489" t="s">
        <v>746</v>
      </c>
      <c r="D158" s="503">
        <f>IF('Список мероприятий'!AB37=1,1.05,'Расчет базового уровня'!D158)</f>
        <v>1.1299999999999999</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385182.13853227987</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2.6298614993655804</v>
      </c>
      <c r="F161" s="74"/>
      <c r="G161" s="500">
        <f>0.28*(4*'Ввод исходных данных'!$D$23*'Расчет базового уровня'!$D$152*0.5+'Расчет базового уровня'!$D$162*'Расчет базового уровня'!$D$154*0.5)*'Расчет базового уровня'!$D$155*0.024*G147</f>
        <v>67307.62327016292</v>
      </c>
      <c r="H161" s="500">
        <f>0.28*(4*'Ввод исходных данных'!$D$23*'Расчет базового уровня'!$D$152*0.5+'Расчет базового уровня'!$D$162*'Расчет базового уровня'!$D$154*0.5)*'Расчет базового уровня'!$D$155*0.024*H147</f>
        <v>61500.889079563713</v>
      </c>
      <c r="I161" s="500">
        <f>0.28*(4*'Ввод исходных данных'!$D$23*'Расчет базового уровня'!$D$152*0.5+'Расчет базового уровня'!$D$162*'Расчет базового уровня'!$D$154*0.5)*'Расчет базового уровня'!$D$155*0.024*I147</f>
        <v>54002.627972572576</v>
      </c>
      <c r="J161" s="500">
        <f>0.28*(4*'Ввод исходных данных'!$D$23*'Расчет базового уровня'!$D$152*0.5+'Расчет базового уровня'!$D$162*'Расчет базового уровня'!$D$154*0.5)*'Расчет базового уровня'!$D$155*0.024*J147</f>
        <v>28781.204249056915</v>
      </c>
      <c r="K161" s="500">
        <f>0.28*(4*'Ввод исходных данных'!$D$23*'Расчет базового уровня'!$D$152*0.5+'Расчет базового уровня'!$D$162*'Расчет базового уровня'!$D$154*0.5)*'Расчет базового уровня'!$D$155*0.024*K147</f>
        <v>7574.0011181728723</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40520.905982224867</v>
      </c>
      <c r="Q161" s="500">
        <f>0.28*(4*'Ввод исходных данных'!$D$23*'Расчет базового уровня'!$D$152*0.5+'Расчет базового уровня'!$D$162*'Расчет базового уровня'!$D$154*0.5)*'Расчет базового уровня'!$D$155*0.024*Q147</f>
        <v>62296.159196971872</v>
      </c>
      <c r="R161" s="500">
        <f>0.28*(4*'Ввод исходных данных'!$D$23*'Расчет базового уровня'!$D$152*0.5+'Расчет базового уровня'!$D$162*'Расчет базового уровня'!$D$154*0.5)*'Расчет базового уровня'!$D$155*0.024*R147</f>
        <v>63198.727663554135</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2581.947111786415</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6" t="s">
        <v>905</v>
      </c>
      <c r="B165" s="507" t="s">
        <v>1474</v>
      </c>
      <c r="C165" s="489" t="s">
        <v>906</v>
      </c>
      <c r="D165" s="508">
        <f>D166*365/(D146+D167*(D168-D146))</f>
        <v>97.189349112426029</v>
      </c>
      <c r="E165" s="74"/>
      <c r="F165" s="74"/>
      <c r="G165" s="508">
        <f>'Расчет базового уровня'!G167</f>
        <v>97.189349112426029</v>
      </c>
      <c r="H165" s="508">
        <f>'Расчет базового уровня'!H167</f>
        <v>97.189349112426029</v>
      </c>
      <c r="I165" s="508">
        <f>'Расчет базового уровня'!I167</f>
        <v>97.189349112426029</v>
      </c>
      <c r="J165" s="508">
        <f>'Расчет базового уровня'!J167</f>
        <v>97.189349112426029</v>
      </c>
      <c r="K165" s="508">
        <f>'Расчет базового уровня'!K167</f>
        <v>87.470414201183431</v>
      </c>
      <c r="L165" s="508">
        <f>'Расчет базового уровня'!L167</f>
        <v>87.470414201183431</v>
      </c>
      <c r="M165" s="508">
        <f>'Расчет базового уровня'!M167</f>
        <v>87.470414201183431</v>
      </c>
      <c r="N165" s="508">
        <f>'Расчет базового уровня'!N167</f>
        <v>87.470414201183431</v>
      </c>
      <c r="O165" s="508">
        <f>'Расчет базового уровня'!O167</f>
        <v>87.470414201183431</v>
      </c>
      <c r="P165" s="508">
        <f>'Расчет базового уровня'!P167</f>
        <v>97.189349112426029</v>
      </c>
      <c r="Q165" s="508">
        <f>'Расчет базового уровня'!Q167</f>
        <v>97.189349112426029</v>
      </c>
      <c r="R165" s="508">
        <f>'Расчет базового уровня'!R167</f>
        <v>97.189349112426029</v>
      </c>
      <c r="S165" s="74"/>
      <c r="T165" s="74"/>
      <c r="U165" s="74"/>
      <c r="V165" s="74"/>
      <c r="W165" s="74"/>
      <c r="X165" s="74"/>
    </row>
    <row r="166" spans="1:31" ht="15.75" customHeight="1" x14ac:dyDescent="0.25">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25">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25">
      <c r="A169" s="506" t="s">
        <v>908</v>
      </c>
      <c r="B169" s="507" t="s">
        <v>547</v>
      </c>
      <c r="C169" s="489" t="s">
        <v>559</v>
      </c>
      <c r="D169" s="512">
        <f>D165*'Ввод исходных данных'!$D$22/24/1000</f>
        <v>1.3930473372781065</v>
      </c>
      <c r="E169" s="74"/>
      <c r="F169" s="74"/>
      <c r="G169" s="512">
        <f>G165*'Ввод исходных данных'!$D$22/24/1000</f>
        <v>1.3930473372781065</v>
      </c>
      <c r="H169" s="512">
        <f>H165*'Ввод исходных данных'!$D$22/24/1000</f>
        <v>1.3930473372781065</v>
      </c>
      <c r="I169" s="512">
        <f>I165*'Ввод исходных данных'!$D$22/24/1000</f>
        <v>1.3930473372781065</v>
      </c>
      <c r="J169" s="512">
        <f>J165*'Ввод исходных данных'!$D$22/24/1000</f>
        <v>1.3930473372781065</v>
      </c>
      <c r="K169" s="512">
        <f>K165*'Ввод исходных данных'!$D$22/24/1000</f>
        <v>1.2537426035502959</v>
      </c>
      <c r="L169" s="512">
        <f>L165*'Ввод исходных данных'!$D$22/24/1000</f>
        <v>1.2537426035502959</v>
      </c>
      <c r="M169" s="512">
        <f>M165*'Ввод исходных данных'!$D$22/24/1000</f>
        <v>1.2537426035502959</v>
      </c>
      <c r="N169" s="512">
        <f>N165*'Ввод исходных данных'!$D$22/24/1000</f>
        <v>1.2537426035502959</v>
      </c>
      <c r="O169" s="512">
        <f>O165*'Ввод исходных данных'!$D$22/24/1000</f>
        <v>1.2537426035502959</v>
      </c>
      <c r="P169" s="512">
        <f>P165*'Ввод исходных данных'!$D$22/24/1000</f>
        <v>1.3930473372781065</v>
      </c>
      <c r="Q169" s="512">
        <f>Q165*'Ввод исходных данных'!$D$22/24/1000</f>
        <v>1.3930473372781065</v>
      </c>
      <c r="R169" s="512">
        <f>R165*'Ввод исходных данных'!$D$22/24/1000</f>
        <v>1.3930473372781065</v>
      </c>
      <c r="S169" s="74"/>
      <c r="T169" s="74"/>
      <c r="U169" s="74"/>
      <c r="V169" s="74"/>
      <c r="W169" s="74"/>
      <c r="X169" s="74"/>
    </row>
    <row r="170" spans="1:31" ht="15.75" customHeight="1" x14ac:dyDescent="0.25">
      <c r="A170" s="506" t="s">
        <v>909</v>
      </c>
      <c r="B170" s="507" t="s">
        <v>548</v>
      </c>
      <c r="C170" s="489" t="s">
        <v>559</v>
      </c>
      <c r="D170" s="512">
        <f>D169*'Система электроснабжения'!$C$55</f>
        <v>5.7886857811106394</v>
      </c>
      <c r="E170" s="74"/>
      <c r="F170" s="74"/>
      <c r="G170" s="512">
        <f>G169*'Система электроснабжения'!$C$55</f>
        <v>5.7886857811106394</v>
      </c>
      <c r="H170" s="512">
        <f>H169*'Система электроснабжения'!$C$55</f>
        <v>5.7886857811106394</v>
      </c>
      <c r="I170" s="512">
        <f>I169*'Система электроснабжения'!$C$55</f>
        <v>5.7886857811106394</v>
      </c>
      <c r="J170" s="512">
        <f>J169*'Система электроснабжения'!$C$55</f>
        <v>5.7886857811106394</v>
      </c>
      <c r="K170" s="512">
        <f>K169*'Система электроснабжения'!$C$55</f>
        <v>5.2098172029995755</v>
      </c>
      <c r="L170" s="512">
        <f>L169*'Система электроснабжения'!$C$55</f>
        <v>5.2098172029995755</v>
      </c>
      <c r="M170" s="512">
        <f>M169*'Система электроснабжения'!$C$55</f>
        <v>5.2098172029995755</v>
      </c>
      <c r="N170" s="512">
        <f>N169*'Система электроснабжения'!$C$55</f>
        <v>5.2098172029995755</v>
      </c>
      <c r="O170" s="512">
        <f>O169*'Система электроснабжения'!$C$55</f>
        <v>5.2098172029995755</v>
      </c>
      <c r="P170" s="512">
        <f>P169*'Система электроснабжения'!$C$55</f>
        <v>5.7886857811106394</v>
      </c>
      <c r="Q170" s="512">
        <f>Q169*'Система электроснабжения'!$C$55</f>
        <v>5.7886857811106394</v>
      </c>
      <c r="R170" s="512">
        <f>R169*'Система электроснабжения'!$C$55</f>
        <v>5.7886857811106394</v>
      </c>
      <c r="S170" s="74"/>
      <c r="T170" s="74"/>
      <c r="U170" s="74"/>
      <c r="V170" s="74"/>
      <c r="W170" s="74"/>
      <c r="X170" s="74"/>
    </row>
    <row r="171" spans="1:31" ht="15.75" customHeight="1" x14ac:dyDescent="0.25">
      <c r="A171" s="506" t="s">
        <v>910</v>
      </c>
      <c r="B171" s="507" t="s">
        <v>551</v>
      </c>
      <c r="C171" s="489" t="s">
        <v>513</v>
      </c>
      <c r="D171" s="513">
        <f xml:space="preserve"> (D165*(D172-D173)*(1+D174)*1*D175)/(3.6*24*D176)</f>
        <v>16.89002403846154</v>
      </c>
      <c r="E171" s="74"/>
      <c r="F171" s="74"/>
      <c r="G171" s="513">
        <f xml:space="preserve"> (G165*($D$172-$D$173)*(1+$D$174)*1*$D$175)/(3.6*24*$D$176)</f>
        <v>16.89002403846154</v>
      </c>
      <c r="H171" s="513">
        <f t="shared" ref="H171:R171" si="11" xml:space="preserve"> (H165*($D$172-$D$173)*(1+$D$174)*1*$D$175)/(3.6*24*$D$176)</f>
        <v>16.89002403846154</v>
      </c>
      <c r="I171" s="513">
        <f t="shared" si="11"/>
        <v>16.89002403846154</v>
      </c>
      <c r="J171" s="513">
        <f t="shared" si="11"/>
        <v>16.89002403846154</v>
      </c>
      <c r="K171" s="513">
        <f t="shared" si="11"/>
        <v>15.201021634615389</v>
      </c>
      <c r="L171" s="513">
        <f t="shared" si="11"/>
        <v>15.201021634615389</v>
      </c>
      <c r="M171" s="513">
        <f t="shared" si="11"/>
        <v>15.201021634615389</v>
      </c>
      <c r="N171" s="513">
        <f t="shared" si="11"/>
        <v>15.201021634615389</v>
      </c>
      <c r="O171" s="513">
        <f t="shared" si="11"/>
        <v>15.201021634615389</v>
      </c>
      <c r="P171" s="513">
        <f t="shared" si="11"/>
        <v>16.89002403846154</v>
      </c>
      <c r="Q171" s="513">
        <f t="shared" si="11"/>
        <v>16.89002403846154</v>
      </c>
      <c r="R171" s="513">
        <f t="shared" si="11"/>
        <v>16.89002403846154</v>
      </c>
      <c r="S171" s="74"/>
      <c r="T171" s="74"/>
      <c r="U171" s="74"/>
      <c r="V171" s="74"/>
      <c r="W171" s="74"/>
      <c r="X171" s="74"/>
    </row>
    <row r="172" spans="1:31" ht="15.75" customHeight="1" x14ac:dyDescent="0.25">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8.7037037037037042</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0.3</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0" t="s">
        <v>914</v>
      </c>
      <c r="B177" s="515" t="s">
        <v>750</v>
      </c>
      <c r="C177" s="489" t="s">
        <v>562</v>
      </c>
      <c r="D177" s="508">
        <f>'Расчет базового уровня'!D179</f>
        <v>81.581104651162789</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25">
      <c r="A179" s="510" t="s">
        <v>1572</v>
      </c>
      <c r="B179" s="515" t="s">
        <v>1573</v>
      </c>
      <c r="C179" s="489" t="s">
        <v>1579</v>
      </c>
      <c r="D179" s="508">
        <f>0.28*'Ввод исходных данных'!$G$49*(D181-D182)+0.03*D181*Климатология!$H$2^2</f>
        <v>18.141695395390382</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0" t="s">
        <v>1575</v>
      </c>
      <c r="B180" s="515" t="s">
        <v>1574</v>
      </c>
      <c r="C180" s="489" t="s">
        <v>1579</v>
      </c>
      <c r="D180" s="508">
        <f>0.55*('Ввод исходных данных'!$G$49-1)*(D181-D182)+0.03*D181*Климатология!$H$2^2</f>
        <v>26.591937060414352</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0" t="s">
        <v>1576</v>
      </c>
      <c r="B181" s="515"/>
      <c r="C181" s="489" t="s">
        <v>1580</v>
      </c>
      <c r="D181" s="508">
        <f>3463/(273+Климатология!$F$2)</f>
        <v>13.072857682144207</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0" t="s">
        <v>1571</v>
      </c>
      <c r="B183" s="515"/>
      <c r="C183" s="489" t="s">
        <v>1581</v>
      </c>
      <c r="D183" s="517">
        <f>IF('Список мероприятий'!AB14=1,0.86,'Расчет базового уровня'!D185)</f>
        <v>0.12</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0" t="s">
        <v>1570</v>
      </c>
      <c r="B184" s="515"/>
      <c r="C184" s="489" t="s">
        <v>1581</v>
      </c>
      <c r="D184" s="517">
        <f>IF('Список мероприятий'!AB73=1,0.16,'Расчет базового уровня'!D186)</f>
        <v>0.16</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0" t="s">
        <v>1569</v>
      </c>
      <c r="B185" s="515"/>
      <c r="C185" s="489" t="s">
        <v>1582</v>
      </c>
      <c r="D185" s="508">
        <f>(B136/D183)*(D179/10)^(2/3)</f>
        <v>2355.1808896284724</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0" t="s">
        <v>1568</v>
      </c>
      <c r="B186" s="515"/>
      <c r="C186" s="489" t="s">
        <v>1582</v>
      </c>
      <c r="D186" s="508">
        <f>(B143/D184)*(D180/10)^(1/2)</f>
        <v>570.74620365804958</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0" t="s">
        <v>1567</v>
      </c>
      <c r="B187" s="515"/>
      <c r="C187" s="489" t="s">
        <v>1582</v>
      </c>
      <c r="D187" s="508">
        <f>D185+D186</f>
        <v>2925.927093286522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0" t="s">
        <v>1566</v>
      </c>
      <c r="B188" s="515"/>
      <c r="C188" s="489" t="s">
        <v>496</v>
      </c>
      <c r="D188" s="508">
        <f>0.024*D185*'Расчет базового уровня'!$D$147*0.28</f>
        <v>98286.107422821544</v>
      </c>
      <c r="E188" s="74"/>
      <c r="F188" s="74"/>
      <c r="G188" s="508">
        <f>0.024*$D$185*G$147*0.28</f>
        <v>16877.716132702673</v>
      </c>
      <c r="H188" s="508">
        <f t="shared" ref="H188:R188" si="12">0.024*$D$185*H$147*0.28</f>
        <v>15421.649099498767</v>
      </c>
      <c r="I188" s="508">
        <f t="shared" si="12"/>
        <v>13541.423408796334</v>
      </c>
      <c r="J188" s="508">
        <f t="shared" si="12"/>
        <v>7217.027903706321</v>
      </c>
      <c r="K188" s="508">
        <f t="shared" si="12"/>
        <v>1899.2178693964004</v>
      </c>
      <c r="L188" s="508">
        <f t="shared" si="12"/>
        <v>0</v>
      </c>
      <c r="M188" s="508">
        <f t="shared" si="12"/>
        <v>0</v>
      </c>
      <c r="N188" s="508">
        <f t="shared" si="12"/>
        <v>0</v>
      </c>
      <c r="O188" s="508">
        <f t="shared" si="12"/>
        <v>0</v>
      </c>
      <c r="P188" s="508">
        <f t="shared" si="12"/>
        <v>10160.81560127074</v>
      </c>
      <c r="Q188" s="508">
        <f t="shared" si="12"/>
        <v>15621.066975785392</v>
      </c>
      <c r="R188" s="508">
        <f t="shared" si="12"/>
        <v>15847.390438555129</v>
      </c>
      <c r="S188" s="74"/>
      <c r="T188" s="74"/>
      <c r="U188" s="74"/>
      <c r="V188" s="74"/>
      <c r="W188" s="74"/>
      <c r="X188" s="74"/>
    </row>
    <row r="189" spans="1:26" x14ac:dyDescent="0.25">
      <c r="A189" s="510" t="s">
        <v>1565</v>
      </c>
      <c r="B189" s="515"/>
      <c r="C189" s="489" t="s">
        <v>496</v>
      </c>
      <c r="D189" s="508">
        <f>0.024*D186*'Расчет базового уровня'!$D$147*0.28</f>
        <v>23818.30751554366</v>
      </c>
      <c r="E189" s="74"/>
      <c r="F189" s="74"/>
      <c r="G189" s="508">
        <f>0.024*$D$186*G$147*0.28</f>
        <v>4090.0860106239438</v>
      </c>
      <c r="H189" s="508">
        <f t="shared" ref="H189:R189" si="13">0.024*$D$186*H$147*0.28</f>
        <v>3737.2278776743915</v>
      </c>
      <c r="I189" s="508">
        <f t="shared" si="13"/>
        <v>3281.5806364308396</v>
      </c>
      <c r="J189" s="508">
        <f t="shared" si="13"/>
        <v>1748.9490067934348</v>
      </c>
      <c r="K189" s="508">
        <f t="shared" si="13"/>
        <v>460.24973862985127</v>
      </c>
      <c r="L189" s="508">
        <f t="shared" si="13"/>
        <v>0</v>
      </c>
      <c r="M189" s="508">
        <f t="shared" si="13"/>
        <v>0</v>
      </c>
      <c r="N189" s="508">
        <f t="shared" si="13"/>
        <v>0</v>
      </c>
      <c r="O189" s="508">
        <f t="shared" si="13"/>
        <v>0</v>
      </c>
      <c r="P189" s="508">
        <f t="shared" si="13"/>
        <v>2462.336101669704</v>
      </c>
      <c r="Q189" s="508">
        <f t="shared" si="13"/>
        <v>3785.5541002305267</v>
      </c>
      <c r="R189" s="508">
        <f t="shared" si="13"/>
        <v>3840.40052741725</v>
      </c>
      <c r="S189" s="74"/>
      <c r="T189" s="74"/>
      <c r="U189" s="74"/>
      <c r="V189" s="74"/>
      <c r="W189" s="74"/>
      <c r="X189" s="74"/>
    </row>
    <row r="190" spans="1:26" x14ac:dyDescent="0.25">
      <c r="A190" s="510" t="s">
        <v>1564</v>
      </c>
      <c r="B190" s="515"/>
      <c r="C190" s="489" t="s">
        <v>496</v>
      </c>
      <c r="D190" s="508">
        <f>0.024*D187*'Расчет базового уровня'!$D$147*0.28</f>
        <v>122104.41493836521</v>
      </c>
      <c r="E190" s="74"/>
      <c r="F190" s="74"/>
      <c r="G190" s="508">
        <f>0.024*$D$187*G$147*0.28</f>
        <v>20967.802143326619</v>
      </c>
      <c r="H190" s="508">
        <f t="shared" ref="H190:R190" si="14">0.024*$D$187*H$147*0.28</f>
        <v>19158.87697717316</v>
      </c>
      <c r="I190" s="508">
        <f t="shared" si="14"/>
        <v>16823.004045227175</v>
      </c>
      <c r="J190" s="508">
        <f t="shared" si="14"/>
        <v>8965.9769104997558</v>
      </c>
      <c r="K190" s="508">
        <f t="shared" si="14"/>
        <v>2359.4676080262516</v>
      </c>
      <c r="L190" s="508">
        <f t="shared" si="14"/>
        <v>0</v>
      </c>
      <c r="M190" s="508">
        <f t="shared" si="14"/>
        <v>0</v>
      </c>
      <c r="N190" s="508">
        <f t="shared" si="14"/>
        <v>0</v>
      </c>
      <c r="O190" s="508">
        <f t="shared" si="14"/>
        <v>0</v>
      </c>
      <c r="P190" s="508">
        <f t="shared" si="14"/>
        <v>12623.151702940446</v>
      </c>
      <c r="Q190" s="508">
        <f t="shared" si="14"/>
        <v>19406.621076015919</v>
      </c>
      <c r="R190" s="508">
        <f t="shared" si="14"/>
        <v>19687.790965972381</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40625"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1302</v>
      </c>
      <c r="C2" s="284" t="s">
        <v>1380</v>
      </c>
      <c r="D2" s="284" t="s">
        <v>1303</v>
      </c>
      <c r="E2" s="284" t="s">
        <v>1623</v>
      </c>
      <c r="F2" s="284" t="s">
        <v>1622</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1305</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1620</v>
      </c>
      <c r="D49" s="95" t="s">
        <v>1621</v>
      </c>
      <c r="E49" s="74"/>
      <c r="F49" s="74"/>
      <c r="G49" s="74"/>
      <c r="H49" s="74"/>
      <c r="I49" s="74"/>
      <c r="J49" s="74"/>
      <c r="K49" s="74"/>
    </row>
    <row r="50" spans="1:11" x14ac:dyDescent="0.25">
      <c r="A50" s="95" t="s">
        <v>1541</v>
      </c>
      <c r="B50" s="95" t="s">
        <v>1311</v>
      </c>
      <c r="C50" s="95">
        <v>6000</v>
      </c>
      <c r="D50" s="95">
        <v>5000</v>
      </c>
      <c r="E50" s="74"/>
      <c r="F50" s="74"/>
      <c r="G50" s="74"/>
      <c r="H50" s="74"/>
      <c r="I50" s="74"/>
      <c r="J50" s="74"/>
      <c r="K50" s="74"/>
    </row>
    <row r="51" spans="1:11" x14ac:dyDescent="0.25">
      <c r="A51" s="95" t="s">
        <v>1542</v>
      </c>
      <c r="B51" s="95" t="s">
        <v>1543</v>
      </c>
      <c r="C51" s="95">
        <v>3800</v>
      </c>
      <c r="D51" s="95"/>
      <c r="E51" s="74"/>
      <c r="F51" s="74"/>
      <c r="G51" s="74"/>
      <c r="H51" s="74"/>
      <c r="I51" s="74"/>
      <c r="J51" s="74"/>
      <c r="K51" s="74"/>
    </row>
    <row r="52" spans="1:11" x14ac:dyDescent="0.25">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25">
      <c r="A53" s="95" t="s">
        <v>801</v>
      </c>
      <c r="B53" s="95" t="s">
        <v>858</v>
      </c>
      <c r="C53" s="286">
        <f>2349*('Система электроснабжения'!D34+'Расчет базового уровня'!E172)+1151900</f>
        <v>4396182.8171647228</v>
      </c>
      <c r="D53" s="286">
        <f>C53*0.2+100000</f>
        <v>979236.56343294459</v>
      </c>
      <c r="E53" s="74"/>
      <c r="F53" s="74"/>
      <c r="G53" s="74"/>
      <c r="H53" s="74"/>
      <c r="I53" s="74"/>
      <c r="J53" s="74"/>
      <c r="K53" s="74"/>
    </row>
    <row r="54" spans="1:11" x14ac:dyDescent="0.25">
      <c r="A54" s="95" t="s">
        <v>1615</v>
      </c>
      <c r="B54" s="95" t="s">
        <v>858</v>
      </c>
      <c r="C54" s="286">
        <f>531500+285*'Расчет базового уровня'!E172</f>
        <v>647946.65034426691</v>
      </c>
      <c r="D54" s="95">
        <f>C54*0.2+100000</f>
        <v>229589.33006885339</v>
      </c>
      <c r="E54" s="74"/>
      <c r="F54" s="74"/>
      <c r="G54" s="74"/>
      <c r="H54" s="74"/>
      <c r="I54" s="74"/>
      <c r="J54" s="74"/>
      <c r="K54" s="74"/>
    </row>
    <row r="55" spans="1:11" x14ac:dyDescent="0.25">
      <c r="A55" s="95" t="s">
        <v>1619</v>
      </c>
      <c r="B55" s="95" t="s">
        <v>858</v>
      </c>
      <c r="C55" s="286">
        <f>150121*'Расчет базового уровня'!E173+23232</f>
        <v>75981.94853629914</v>
      </c>
      <c r="D55" s="95"/>
      <c r="E55" s="74"/>
      <c r="F55" s="74"/>
      <c r="G55" s="74"/>
      <c r="H55" s="74"/>
      <c r="I55" s="74"/>
      <c r="J55" s="74"/>
      <c r="K55" s="74"/>
    </row>
    <row r="56" spans="1:11" x14ac:dyDescent="0.25">
      <c r="A56" s="95" t="s">
        <v>1547</v>
      </c>
      <c r="B56" s="95" t="s">
        <v>493</v>
      </c>
      <c r="C56" s="95">
        <v>400</v>
      </c>
      <c r="D56" s="95"/>
      <c r="E56" s="74"/>
      <c r="F56" s="74"/>
      <c r="G56" s="74"/>
      <c r="H56" s="74"/>
      <c r="I56" s="74"/>
      <c r="J56" s="74"/>
      <c r="K56" s="74"/>
    </row>
    <row r="57" spans="1:11" x14ac:dyDescent="0.25">
      <c r="A57" s="95" t="s">
        <v>1548</v>
      </c>
      <c r="B57" s="95" t="s">
        <v>493</v>
      </c>
      <c r="C57" s="95">
        <f>285+91</f>
        <v>376</v>
      </c>
      <c r="D57" s="95"/>
      <c r="E57" s="74"/>
      <c r="F57" s="74"/>
      <c r="G57" s="74"/>
      <c r="H57" s="74"/>
      <c r="I57" s="74"/>
      <c r="J57" s="74"/>
      <c r="K57" s="74"/>
    </row>
    <row r="58" spans="1:11" x14ac:dyDescent="0.25">
      <c r="A58" s="95" t="s">
        <v>1611</v>
      </c>
      <c r="B58" s="95" t="s">
        <v>1311</v>
      </c>
      <c r="C58" s="95">
        <v>650000</v>
      </c>
      <c r="D58" s="95">
        <v>600000</v>
      </c>
      <c r="E58" s="74"/>
      <c r="F58" s="74"/>
      <c r="G58" s="74"/>
      <c r="H58" s="74"/>
      <c r="I58" s="74"/>
      <c r="J58" s="74"/>
      <c r="K58" s="74"/>
    </row>
    <row r="59" spans="1:11" x14ac:dyDescent="0.25">
      <c r="A59" s="95" t="s">
        <v>1545</v>
      </c>
      <c r="B59" s="95" t="s">
        <v>493</v>
      </c>
      <c r="C59" s="95">
        <v>90</v>
      </c>
      <c r="D59" s="95"/>
      <c r="E59" s="74"/>
      <c r="F59" s="74"/>
      <c r="G59" s="74"/>
      <c r="H59" s="74"/>
      <c r="I59" s="74"/>
      <c r="J59" s="74"/>
      <c r="K59" s="74"/>
    </row>
    <row r="60" spans="1:11" x14ac:dyDescent="0.25">
      <c r="A60" s="98" t="s">
        <v>1546</v>
      </c>
      <c r="B60" s="95" t="s">
        <v>1311</v>
      </c>
      <c r="C60" s="95">
        <v>150</v>
      </c>
      <c r="D60" s="95"/>
      <c r="E60" s="74"/>
      <c r="F60" s="74"/>
      <c r="G60" s="74"/>
      <c r="H60" s="74"/>
      <c r="I60" s="74"/>
      <c r="J60" s="74"/>
      <c r="K60" s="74"/>
    </row>
    <row r="61" spans="1:11" x14ac:dyDescent="0.25">
      <c r="A61" s="98" t="s">
        <v>1549</v>
      </c>
      <c r="B61" s="95" t="s">
        <v>1311</v>
      </c>
      <c r="C61" s="98">
        <v>500</v>
      </c>
      <c r="D61" s="95"/>
      <c r="E61" s="74"/>
      <c r="F61" s="74"/>
      <c r="G61" s="74"/>
      <c r="H61" s="74"/>
      <c r="I61" s="74"/>
      <c r="J61" s="74"/>
      <c r="K61" s="74"/>
    </row>
    <row r="62" spans="1:11" x14ac:dyDescent="0.25">
      <c r="A62" s="98" t="s">
        <v>1550</v>
      </c>
      <c r="B62" s="95" t="s">
        <v>1311</v>
      </c>
      <c r="C62" s="98">
        <v>36000</v>
      </c>
      <c r="D62" s="95"/>
      <c r="E62" s="74"/>
      <c r="F62" s="74"/>
      <c r="G62" s="74"/>
      <c r="H62" s="74"/>
      <c r="I62" s="74"/>
      <c r="J62" s="74"/>
      <c r="K62" s="74"/>
    </row>
    <row r="63" spans="1:11" x14ac:dyDescent="0.25">
      <c r="A63" s="98" t="s">
        <v>1613</v>
      </c>
      <c r="B63" s="95" t="s">
        <v>1614</v>
      </c>
      <c r="C63" s="98">
        <v>4000</v>
      </c>
      <c r="D63" s="95"/>
      <c r="E63" s="74"/>
      <c r="F63" s="74"/>
      <c r="G63" s="74"/>
      <c r="H63" s="74"/>
      <c r="I63" s="74"/>
      <c r="J63" s="74"/>
      <c r="K63" s="74"/>
    </row>
    <row r="64" spans="1:11" x14ac:dyDescent="0.25">
      <c r="A64" s="98" t="s">
        <v>1616</v>
      </c>
      <c r="B64" s="95" t="s">
        <v>1617</v>
      </c>
      <c r="C64" s="98">
        <v>400</v>
      </c>
      <c r="D64" s="95"/>
      <c r="E64" s="74" t="s">
        <v>1618</v>
      </c>
      <c r="F64" s="74"/>
      <c r="G64" s="74"/>
      <c r="H64" s="74"/>
      <c r="I64" s="74"/>
      <c r="J64" s="74"/>
      <c r="K64" s="74"/>
    </row>
    <row r="65" spans="1:11" x14ac:dyDescent="0.25">
      <c r="A65" s="98" t="s">
        <v>1551</v>
      </c>
      <c r="B65" s="95" t="s">
        <v>1311</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Крюкля Иван Андреевич</cp:lastModifiedBy>
  <cp:lastPrinted>2017-10-11T04:00:00Z</cp:lastPrinted>
  <dcterms:created xsi:type="dcterms:W3CDTF">2016-10-10T08:58:27Z</dcterms:created>
  <dcterms:modified xsi:type="dcterms:W3CDTF">2017-10-11T04:17:09Z</dcterms:modified>
  <cp:category>Приложение</cp:category>
</cp:coreProperties>
</file>