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AlgorithmName="SHA-512" workbookHashValue="sw+hhbmwn2JVfeywdN2IBuv7JHBVQpPM4/9yPyEWklZN8moW1o4Logw/M1wfd3ju9D4pjb8SzqDEoTIZHPWFjA==" workbookSaltValue="JliWH0N+sdSIo/tLBjYg3g==" workbookSpinCount="100000" lockStructure="1"/>
  <bookViews>
    <workbookView xWindow="0" yWindow="0" windowWidth="15345" windowHeight="3735"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7" i="5" l="1"/>
  <c r="D216" i="5"/>
  <c r="D215" i="5"/>
  <c r="D214" i="5"/>
  <c r="D213" i="5"/>
  <c r="D212" i="5"/>
  <c r="D211" i="5"/>
  <c r="D210" i="5"/>
  <c r="D209" i="5"/>
  <c r="D208" i="5"/>
  <c r="D207" i="5"/>
  <c r="D206" i="5"/>
  <c r="D13" i="5" l="1"/>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D196" i="5" l="1"/>
  <c r="E235" i="5"/>
  <c r="E236" i="5" s="1"/>
  <c r="D197" i="5"/>
  <c r="D195" i="5"/>
  <c r="D187" i="5"/>
  <c r="D188" i="5" l="1"/>
  <c r="AA56" i="15"/>
  <c r="AA55" i="15"/>
  <c r="AA44" i="15"/>
  <c r="AA49" i="15"/>
  <c r="J35" i="15"/>
  <c r="H35" i="15" s="1"/>
  <c r="D190" i="5"/>
  <c r="D189" i="5"/>
  <c r="E198" i="5"/>
  <c r="F218" i="5"/>
  <c r="A49" i="15" l="1"/>
  <c r="AD49" i="15" s="1"/>
  <c r="A55" i="15"/>
  <c r="AD55" i="15" s="1"/>
  <c r="A44" i="15"/>
  <c r="AD44" i="15" s="1"/>
  <c r="A56" i="15"/>
  <c r="AD56" i="15" s="1"/>
  <c r="D191" i="5" l="1"/>
  <c r="E6" i="16"/>
  <c r="D32" i="16" s="1"/>
  <c r="D192" i="5" l="1"/>
  <c r="F13" i="5"/>
  <c r="D193" i="5" l="1"/>
  <c r="D218" i="5"/>
  <c r="F12" i="5"/>
  <c r="E218" i="5" l="1"/>
  <c r="F63" i="5"/>
  <c r="F50" i="5"/>
  <c r="D194" i="5" l="1"/>
  <c r="D198" i="5" s="1"/>
  <c r="H56" i="15"/>
  <c r="H58" i="15"/>
  <c r="H55" i="15"/>
  <c r="H52" i="15"/>
  <c r="H50" i="15"/>
  <c r="H49" i="15"/>
  <c r="H48" i="15"/>
  <c r="H45" i="15"/>
  <c r="H44" i="15"/>
  <c r="H43" i="15"/>
  <c r="H42" i="15" s="1"/>
  <c r="H39" i="15"/>
  <c r="H38" i="15"/>
  <c r="H34" i="15"/>
  <c r="H24" i="15"/>
  <c r="H47" i="15" l="1"/>
  <c r="F240" i="5"/>
  <c r="E243" i="5" l="1"/>
  <c r="D243" i="5"/>
  <c r="AI12" i="4"/>
  <c r="AI11" i="4" s="1"/>
  <c r="AL24" i="4" l="1"/>
  <c r="E159" i="5" l="1"/>
  <c r="F60" i="5"/>
  <c r="L252" i="5" l="1"/>
  <c r="D235" i="5"/>
  <c r="F235" i="5"/>
  <c r="F236" i="5" s="1"/>
  <c r="G235" i="5"/>
  <c r="H235" i="5"/>
  <c r="I235" i="5"/>
  <c r="J235" i="5"/>
  <c r="C103" i="5"/>
  <c r="C202" i="5"/>
  <c r="B274" i="5"/>
  <c r="B266" i="5"/>
  <c r="B239" i="5"/>
  <c r="B163" i="5"/>
  <c r="B79" i="5"/>
  <c r="B42" i="5"/>
  <c r="F66" i="5" l="1"/>
  <c r="F65" i="5"/>
  <c r="F46" i="5"/>
  <c r="F45" i="5"/>
  <c r="E153" i="5" l="1"/>
  <c r="E149" i="5"/>
  <c r="E145" i="5"/>
  <c r="D85" i="5" l="1"/>
  <c r="C86" i="5" s="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D151" i="5"/>
  <c r="E150" i="5" s="1"/>
  <c r="I15" i="11" l="1"/>
  <c r="I14" i="11"/>
  <c r="B15" i="11"/>
  <c r="E270" i="5" l="1"/>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AA63" i="15" l="1"/>
  <c r="AA68" i="15"/>
  <c r="AA62" i="15"/>
  <c r="AA69" i="15"/>
  <c r="AA64" i="15"/>
  <c r="G62" i="5"/>
  <c r="B139" i="6" s="1"/>
  <c r="AA22" i="15"/>
  <c r="AA21" i="15"/>
  <c r="C23" i="8"/>
  <c r="C25" i="8"/>
  <c r="C24" i="8"/>
  <c r="C26"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A62" i="15" l="1"/>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6" i="5" s="1"/>
  <c r="O8" i="18"/>
  <c r="O10" i="18"/>
  <c r="O7" i="18"/>
  <c r="D146" i="20"/>
  <c r="E173" i="20" s="1"/>
  <c r="O90" i="20"/>
  <c r="M90" i="20" l="1"/>
  <c r="AA90" i="20"/>
  <c r="AC90" i="20"/>
  <c r="AE90" i="20"/>
  <c r="K90" i="20"/>
  <c r="I90" i="20"/>
  <c r="L264" i="5" l="1"/>
  <c r="F286"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A12" i="15"/>
  <c r="AD12" i="15" s="1"/>
  <c r="Q111" i="6"/>
  <c r="O111" i="6"/>
  <c r="AA111" i="6"/>
  <c r="M111" i="6"/>
  <c r="AC111" i="6"/>
  <c r="AE111" i="6"/>
  <c r="U111" i="6"/>
  <c r="W111" i="6"/>
  <c r="I111" i="6"/>
  <c r="Y111" i="6"/>
  <c r="K111" i="6"/>
  <c r="S111" i="6"/>
  <c r="I36" i="18" l="1"/>
  <c r="I35" i="18"/>
  <c r="S36" i="18" l="1"/>
  <c r="O36" i="18" s="1"/>
  <c r="A66" i="15" l="1"/>
  <c r="AB37" i="15"/>
  <c r="J37" i="15" s="1"/>
  <c r="AB74" i="15"/>
  <c r="J74" i="15" s="1"/>
  <c r="AB76" i="15"/>
  <c r="J73" i="15"/>
  <c r="A61" i="15"/>
  <c r="C33" i="15" l="1"/>
  <c r="J32" i="15"/>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E23" i="18"/>
  <c r="V23" i="18" s="1"/>
  <c r="W23" i="18" s="1"/>
  <c r="D23" i="18"/>
  <c r="E22" i="18"/>
  <c r="V22" i="18" s="1"/>
  <c r="W22" i="18" s="1"/>
  <c r="D22" i="18"/>
  <c r="E17" i="18"/>
  <c r="D17" i="18"/>
  <c r="E15" i="18"/>
  <c r="V15" i="18" s="1"/>
  <c r="W15" i="18" s="1"/>
  <c r="D15" i="18"/>
  <c r="B2" i="18"/>
  <c r="R15" i="18" l="1"/>
  <c r="R22" i="18"/>
  <c r="R34" i="18"/>
  <c r="R46" i="18"/>
  <c r="R29" i="18"/>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D139" i="20" s="1"/>
  <c r="A20" i="15"/>
  <c r="AD20" i="15" s="1"/>
  <c r="AB20" i="15"/>
  <c r="H259" i="5"/>
  <c r="D147" i="5"/>
  <c r="E146" i="5" s="1"/>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8" i="8"/>
  <c r="C2" i="11"/>
  <c r="M475" i="2"/>
  <c r="N475" i="2" s="1"/>
  <c r="J475" i="2"/>
  <c r="M146" i="6"/>
  <c r="T229" i="5" s="1"/>
  <c r="O146" i="6"/>
  <c r="T231" i="5" s="1"/>
  <c r="P130" i="6"/>
  <c r="A60" i="15" l="1"/>
  <c r="J67" i="15"/>
  <c r="H67" i="15" s="1"/>
  <c r="AE67" i="15"/>
  <c r="AA29" i="15"/>
  <c r="AA28" i="15"/>
  <c r="A28" i="15" s="1"/>
  <c r="AD28" i="15" s="1"/>
  <c r="AE24" i="15"/>
  <c r="Z24" i="15"/>
  <c r="D159" i="20"/>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5" i="5"/>
  <c r="F285"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T32" i="15"/>
  <c r="Y85" i="20"/>
  <c r="L138" i="20"/>
  <c r="G138" i="20"/>
  <c r="N138" i="20"/>
  <c r="H138" i="20"/>
  <c r="O138" i="20"/>
  <c r="I138" i="20"/>
  <c r="R138" i="20"/>
  <c r="F138" i="20"/>
  <c r="Q138" i="20"/>
  <c r="J138" i="20"/>
  <c r="K138" i="20"/>
  <c r="P138" i="20"/>
  <c r="D87" i="6"/>
  <c r="D89" i="6" s="1"/>
  <c r="E16" i="6"/>
  <c r="D16" i="6"/>
  <c r="C21"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2"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3" i="16"/>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D76" i="6" l="1"/>
  <c r="D77" i="6" s="1"/>
  <c r="R14" i="15"/>
  <c r="R9" i="15"/>
  <c r="F62" i="16"/>
  <c r="F63" i="16"/>
  <c r="C18"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24" i="15"/>
  <c r="V20" i="15"/>
  <c r="V27" i="15"/>
  <c r="V18" i="15"/>
  <c r="F14" i="6"/>
  <c r="B28" i="20"/>
  <c r="V60" i="15"/>
  <c r="W18" i="15"/>
  <c r="W67" i="15"/>
  <c r="C60" i="16" s="1"/>
  <c r="F60" i="16" s="1"/>
  <c r="V67" i="15"/>
  <c r="V62" i="15"/>
  <c r="V38" i="15"/>
  <c r="V37" i="15"/>
  <c r="D11" i="6"/>
  <c r="W27" i="15"/>
  <c r="C46" i="16" s="1"/>
  <c r="F46" i="16" s="1"/>
  <c r="W24" i="15"/>
  <c r="C45" i="16" s="1"/>
  <c r="F45" i="16" s="1"/>
  <c r="W20" i="15"/>
  <c r="C44" i="16" s="1"/>
  <c r="F44" i="16" s="1"/>
  <c r="C9" i="20"/>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s="1"/>
  <c r="Z39" i="15" l="1"/>
  <c r="Z12" i="15"/>
  <c r="D162" i="20" l="1"/>
  <c r="M161" i="6"/>
  <c r="G51" i="5" l="1"/>
  <c r="B137" i="20"/>
  <c r="C137" i="6"/>
  <c r="AM50" i="6" s="1"/>
  <c r="AM51" i="6" s="1"/>
  <c r="P161" i="6"/>
  <c r="N161" i="6"/>
  <c r="Q161" i="6"/>
  <c r="R161" i="6"/>
  <c r="J161" i="6"/>
  <c r="L161" i="6"/>
  <c r="K161" i="6"/>
  <c r="D161" i="6"/>
  <c r="F23" i="5"/>
  <c r="E284" i="5" s="1"/>
  <c r="F284" i="5" s="1"/>
  <c r="C26" i="16"/>
  <c r="H161" i="6"/>
  <c r="G161" i="6"/>
  <c r="I161" i="6"/>
  <c r="O161" i="6"/>
  <c r="D162" i="6"/>
  <c r="B134" i="6" l="1"/>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F12" i="15" s="1"/>
  <c r="J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Z38" i="15" l="1"/>
  <c r="Z32" i="15" l="1"/>
  <c r="AE35" i="15" l="1"/>
  <c r="Z35" i="15"/>
  <c r="V35" i="15"/>
  <c r="A34" i="15"/>
  <c r="AD34" i="15" s="1"/>
  <c r="AB34" i="15" l="1"/>
  <c r="U35" i="15"/>
  <c r="W35" i="15" s="1"/>
  <c r="C49" i="16" s="1"/>
  <c r="F49" i="16" s="1"/>
  <c r="F17" i="16" l="1"/>
  <c r="P34" i="15"/>
  <c r="T34" i="15" s="1"/>
  <c r="AE34" i="15"/>
  <c r="Z34" i="15"/>
  <c r="A35" i="15"/>
  <c r="AD35" i="15" s="1"/>
  <c r="A31" i="15" s="1"/>
  <c r="U34" i="15" l="1"/>
  <c r="V34" i="15"/>
  <c r="W34" i="15" l="1"/>
  <c r="C48" i="16" l="1"/>
  <c r="F48"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3" i="16" s="1"/>
  <c r="F53"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5" i="16" s="1"/>
  <c r="F55" i="16" s="1"/>
  <c r="Y47" i="15"/>
  <c r="C54" i="16" s="1"/>
  <c r="F54" i="16" s="1"/>
  <c r="A47" i="15"/>
  <c r="AB55" i="15" l="1"/>
  <c r="Z55" i="15" s="1"/>
  <c r="Q55" i="15" l="1"/>
  <c r="X55" i="15" s="1"/>
  <c r="Y55" i="15" s="1"/>
  <c r="C56" i="16" s="1"/>
  <c r="F56" i="16" s="1"/>
  <c r="AB56" i="15"/>
  <c r="AE55" i="15"/>
  <c r="D104" i="20" l="1"/>
  <c r="J104" i="20" s="1"/>
  <c r="AD6" i="15"/>
  <c r="A6" i="15"/>
  <c r="A54" i="15"/>
  <c r="Z56" i="15"/>
  <c r="C50" i="4" s="1"/>
  <c r="Q56" i="15"/>
  <c r="AE56" i="15"/>
  <c r="D105" i="20" l="1"/>
  <c r="X56" i="15"/>
  <c r="Y56" i="15" s="1"/>
  <c r="Q54" i="15"/>
  <c r="J105" i="20"/>
  <c r="L104" i="20"/>
  <c r="C52" i="4"/>
  <c r="N104" i="20" l="1"/>
  <c r="L105" i="20"/>
  <c r="C57" i="16"/>
  <c r="F57" i="16" s="1"/>
  <c r="Y58" i="15"/>
  <c r="C58" i="16" s="1"/>
  <c r="F58"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N107" i="20" l="1"/>
  <c r="V107" i="20"/>
  <c r="AF107" i="20" l="1"/>
  <c r="D107" i="20"/>
  <c r="L107" i="20"/>
  <c r="AD107" i="20"/>
  <c r="Z107" i="20"/>
  <c r="R107" i="20"/>
  <c r="T107" i="20"/>
  <c r="X107" i="20" l="1"/>
  <c r="AB107" i="20"/>
  <c r="J107" i="20" l="1"/>
  <c r="P107" i="20"/>
  <c r="P39" i="15"/>
  <c r="T39" i="15" s="1"/>
  <c r="U38" i="15" s="1"/>
  <c r="W38" i="15" s="1"/>
  <c r="C51" i="16" s="1"/>
  <c r="F51" i="16" s="1"/>
  <c r="U39" i="15" l="1"/>
  <c r="W39" i="15" s="1"/>
  <c r="C52" i="16" s="1"/>
  <c r="F52" i="16" s="1"/>
  <c r="V39" i="15"/>
  <c r="O7" i="15"/>
  <c r="S14" i="15"/>
  <c r="W14" i="15" s="1"/>
  <c r="C43" i="16" s="1"/>
  <c r="F43" i="16" s="1"/>
  <c r="U32" i="15"/>
  <c r="U31" i="15" s="1"/>
  <c r="R7" i="15" l="1"/>
  <c r="S7" i="15" s="1"/>
  <c r="V7" i="15"/>
  <c r="U36" i="15"/>
  <c r="U6" i="15" s="1"/>
  <c r="W7" i="15" l="1"/>
  <c r="G49" i="5" l="1"/>
  <c r="J76" i="18" s="1"/>
  <c r="AA76" i="18" s="1"/>
  <c r="E43" i="5" l="1"/>
  <c r="D179" i="20"/>
  <c r="D185" i="20" s="1"/>
  <c r="D182" i="6"/>
  <c r="D188" i="6" s="1"/>
  <c r="D41" i="15"/>
  <c r="D180" i="20"/>
  <c r="D186" i="20" s="1"/>
  <c r="E67" i="5"/>
  <c r="E278" i="5" s="1"/>
  <c r="D181" i="6"/>
  <c r="D187" i="6" s="1"/>
  <c r="M189" i="20" l="1"/>
  <c r="Q189" i="20"/>
  <c r="I189" i="20"/>
  <c r="R189" i="20"/>
  <c r="N189" i="20"/>
  <c r="L189" i="20"/>
  <c r="P189" i="20"/>
  <c r="G189" i="20"/>
  <c r="K189" i="20"/>
  <c r="H189" i="20"/>
  <c r="D189" i="20"/>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E288" i="5"/>
  <c r="G188" i="20"/>
  <c r="M188" i="20"/>
  <c r="L188" i="20"/>
  <c r="O188" i="20"/>
  <c r="K188" i="20"/>
  <c r="Q188" i="20"/>
  <c r="D188" i="20"/>
  <c r="P188" i="20"/>
  <c r="I188" i="20"/>
  <c r="H188" i="20"/>
  <c r="R188" i="20"/>
  <c r="N188" i="20"/>
  <c r="J188" i="20"/>
  <c r="D187" i="20"/>
  <c r="F151" i="20" l="1"/>
  <c r="D34" i="10" s="1"/>
  <c r="O73" i="15"/>
  <c r="J192" i="6"/>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89" i="5"/>
  <c r="G86" i="15"/>
  <c r="B291"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R73" i="15" l="1"/>
  <c r="S73" i="15" s="1"/>
  <c r="O71" i="15"/>
  <c r="V73" i="15"/>
  <c r="W73" i="15" s="1"/>
  <c r="C61" i="16" s="1"/>
  <c r="F61" i="16" s="1"/>
  <c r="D93" i="20"/>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V71" i="15" l="1"/>
  <c r="R71" i="15"/>
  <c r="S71" i="15" s="1"/>
  <c r="W71" i="15" s="1"/>
  <c r="D94" i="20"/>
  <c r="D87" i="20"/>
  <c r="D21" i="16"/>
  <c r="E21"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8"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29" i="16"/>
  <c r="C30"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68" i="20"/>
  <c r="R69" i="20" s="1"/>
  <c r="R70"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8" i="20"/>
  <c r="Z49" i="20" s="1"/>
  <c r="T40" i="20"/>
  <c r="Y57" i="6"/>
  <c r="S56" i="20"/>
  <c r="D63" i="6"/>
  <c r="C62" i="20"/>
  <c r="E4" i="15"/>
  <c r="B27" i="6"/>
  <c r="C4" i="15"/>
  <c r="C6" i="6"/>
  <c r="C9" i="6"/>
  <c r="C13" i="6"/>
  <c r="O32" i="15" s="1"/>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3" i="20"/>
  <c r="R64" i="20" s="1"/>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70" i="20"/>
  <c r="Z68" i="20"/>
  <c r="Z69" i="20" s="1"/>
  <c r="Z50" i="20"/>
  <c r="Z51" i="20" s="1"/>
  <c r="Z52" i="20"/>
  <c r="W59" i="20"/>
  <c r="AE60" i="6"/>
  <c r="AK60" i="6"/>
  <c r="AA59"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V32" i="15" l="1"/>
  <c r="R32" i="15"/>
  <c r="E37" i="6"/>
  <c r="P42" i="20"/>
  <c r="P43" i="20" s="1"/>
  <c r="P59" i="20"/>
  <c r="P60" i="20" s="1"/>
  <c r="P61" i="20" s="1"/>
  <c r="T59" i="20"/>
  <c r="T60" i="20" s="1"/>
  <c r="T61" i="20"/>
  <c r="R42" i="20"/>
  <c r="R43" i="20" s="1"/>
  <c r="Z59" i="20"/>
  <c r="Z60" i="20" s="1"/>
  <c r="Z61" i="20" s="1"/>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3" i="20"/>
  <c r="Z54" i="20" s="1"/>
  <c r="Z55" i="20" s="1"/>
  <c r="V48" i="20"/>
  <c r="V49" i="20"/>
  <c r="AB42" i="20"/>
  <c r="AB43" i="20" s="1"/>
  <c r="X50" i="20"/>
  <c r="X52" i="20"/>
  <c r="X45" i="20"/>
  <c r="X46" i="20"/>
  <c r="D47" i="20"/>
  <c r="D48" i="20" s="1"/>
  <c r="D49" i="20" s="1"/>
  <c r="D57" i="6"/>
  <c r="C56" i="20"/>
  <c r="F13" i="6"/>
  <c r="F15" i="6"/>
  <c r="C290" i="5" s="1"/>
  <c r="C291" i="5" s="1"/>
  <c r="AF42" i="20"/>
  <c r="AF43" i="20" s="1"/>
  <c r="T21" i="6"/>
  <c r="T22" i="6"/>
  <c r="L59" i="20"/>
  <c r="L60" i="20" s="1"/>
  <c r="L61" i="20" s="1"/>
  <c r="N68" i="20"/>
  <c r="N69" i="20" s="1"/>
  <c r="N70" i="20" s="1"/>
  <c r="N48" i="20"/>
  <c r="N49" i="20" s="1"/>
  <c r="X58" i="20"/>
  <c r="X56" i="20"/>
  <c r="X57" i="20" s="1"/>
  <c r="R59" i="20"/>
  <c r="R60" i="20" s="1"/>
  <c r="R61" i="20" s="1"/>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6" i="20"/>
  <c r="R57" i="20" s="1"/>
  <c r="R58" i="20" s="1"/>
  <c r="R53" i="20"/>
  <c r="R54" i="20" s="1"/>
  <c r="R55" i="20" s="1"/>
  <c r="L48" i="20"/>
  <c r="L49" i="20" s="1"/>
  <c r="Z45" i="20"/>
  <c r="Z46" i="20" s="1"/>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s="1"/>
  <c r="L45" i="20"/>
  <c r="L46" i="20" s="1"/>
  <c r="Z42" i="20"/>
  <c r="Z43" i="20" s="1"/>
  <c r="J20" i="6"/>
  <c r="I17" i="6"/>
  <c r="I8" i="6"/>
  <c r="I7" i="6"/>
  <c r="K20" i="6"/>
  <c r="X55" i="20"/>
  <c r="X53" i="20"/>
  <c r="X54" i="20" s="1"/>
  <c r="AD63" i="20"/>
  <c r="AD64" i="20" s="1"/>
  <c r="L50" i="20"/>
  <c r="L52" i="20"/>
  <c r="Z56"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R38" i="20" l="1"/>
  <c r="R65" i="20" s="1"/>
  <c r="R66" i="20" s="1"/>
  <c r="R67" i="20" s="1"/>
  <c r="C8" i="6"/>
  <c r="AB38" i="20"/>
  <c r="AB65" i="20" s="1"/>
  <c r="AB66" i="20" s="1"/>
  <c r="AB67" i="20" s="1"/>
  <c r="Z38" i="20"/>
  <c r="Z65" i="20" s="1"/>
  <c r="Z66" i="20" s="1"/>
  <c r="Z67" i="20" s="1"/>
  <c r="L38" i="20"/>
  <c r="L39" i="20" s="1"/>
  <c r="L40" i="20" s="1"/>
  <c r="L51" i="20"/>
  <c r="D69" i="20"/>
  <c r="D70" i="20" s="1"/>
  <c r="P38" i="20"/>
  <c r="P39" i="20" s="1"/>
  <c r="P40" i="20" s="1"/>
  <c r="AD42" i="20"/>
  <c r="AD43" i="20" s="1"/>
  <c r="J45" i="20"/>
  <c r="J46" i="20" s="1"/>
  <c r="Z57" i="20"/>
  <c r="Z58" i="20" s="1"/>
  <c r="E21" i="6"/>
  <c r="E22" i="6"/>
  <c r="D59" i="20"/>
  <c r="D60" i="20" s="1"/>
  <c r="D61" i="20" s="1"/>
  <c r="P51" i="20"/>
  <c r="D56" i="20"/>
  <c r="D57" i="20" s="1"/>
  <c r="D58" i="20" s="1"/>
  <c r="AD48" i="20"/>
  <c r="AD49"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R39" i="20" l="1"/>
  <c r="R40" i="20" s="1"/>
  <c r="AB39" i="20"/>
  <c r="AB40" i="20" s="1"/>
  <c r="L65" i="20"/>
  <c r="L66" i="20" s="1"/>
  <c r="L67" i="20" s="1"/>
  <c r="P65" i="20"/>
  <c r="P66" i="20" s="1"/>
  <c r="P67" i="20" s="1"/>
  <c r="Z39" i="20"/>
  <c r="Z40" i="20" s="1"/>
  <c r="N38" i="20"/>
  <c r="N65" i="20" s="1"/>
  <c r="N66" i="20" s="1"/>
  <c r="N67" i="20" s="1"/>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Z35" i="20"/>
  <c r="P35" i="20" l="1"/>
  <c r="P12" i="20" s="1"/>
  <c r="N39" i="20"/>
  <c r="N40" i="20" s="1"/>
  <c r="L35" i="20"/>
  <c r="L12" i="20" s="1"/>
  <c r="D65" i="20"/>
  <c r="D35" i="20" s="1"/>
  <c r="D36" i="20" s="1"/>
  <c r="D37" i="20" s="1"/>
  <c r="A80" i="20"/>
  <c r="AF35" i="20"/>
  <c r="AF36" i="20" s="1"/>
  <c r="AF37" i="20" s="1"/>
  <c r="AB36" i="20"/>
  <c r="AB37" i="20" s="1"/>
  <c r="AB12" i="20"/>
  <c r="N41" i="10"/>
  <c r="N47" i="10" s="1"/>
  <c r="N50" i="10" s="1"/>
  <c r="AB108" i="20" s="1"/>
  <c r="AB106" i="20" s="1"/>
  <c r="AB100" i="20" s="1"/>
  <c r="N35" i="20"/>
  <c r="X35" i="20"/>
  <c r="R12" i="20"/>
  <c r="R36" i="20"/>
  <c r="R37" i="20" s="1"/>
  <c r="I41" i="10"/>
  <c r="I47" i="10" s="1"/>
  <c r="I50" i="10" s="1"/>
  <c r="R108" i="20" s="1"/>
  <c r="R106" i="20" s="1"/>
  <c r="R100" i="20" s="1"/>
  <c r="S36" i="15"/>
  <c r="W37" i="15"/>
  <c r="V35" i="20"/>
  <c r="J65" i="20"/>
  <c r="J66" i="20" s="1"/>
  <c r="J67" i="20" s="1"/>
  <c r="J39" i="20"/>
  <c r="J40" i="20" s="1"/>
  <c r="Z36" i="20"/>
  <c r="Z37" i="20" s="1"/>
  <c r="M41" i="10"/>
  <c r="M47" i="10" s="1"/>
  <c r="M50" i="10" s="1"/>
  <c r="Z108" i="20" s="1"/>
  <c r="Z106" i="20" s="1"/>
  <c r="Z100" i="20" s="1"/>
  <c r="Z12" i="20"/>
  <c r="P36" i="20"/>
  <c r="P37" i="20" s="1"/>
  <c r="AD65" i="20"/>
  <c r="AD66" i="20" s="1"/>
  <c r="AD67" i="20" s="1"/>
  <c r="AD39" i="20"/>
  <c r="AD40" i="20" s="1"/>
  <c r="S31" i="15"/>
  <c r="W32" i="15"/>
  <c r="T35" i="20"/>
  <c r="F42" i="10"/>
  <c r="F48" i="10" s="1"/>
  <c r="F51" i="10" s="1"/>
  <c r="L108" i="20" s="1"/>
  <c r="L106" i="20" s="1"/>
  <c r="L100" i="20" s="1"/>
  <c r="R18" i="20" l="1"/>
  <c r="R19" i="20" s="1"/>
  <c r="R20" i="20" s="1"/>
  <c r="R101" i="20"/>
  <c r="Z18" i="20"/>
  <c r="Z19" i="20" s="1"/>
  <c r="Z20" i="20" s="1"/>
  <c r="Z101" i="20"/>
  <c r="AB18" i="20"/>
  <c r="AB19" i="20" s="1"/>
  <c r="AB20" i="20" s="1"/>
  <c r="AB101" i="20"/>
  <c r="L18" i="20"/>
  <c r="L19" i="20" s="1"/>
  <c r="L20" i="20" s="1"/>
  <c r="L101" i="20"/>
  <c r="L36" i="20"/>
  <c r="L37" i="20" s="1"/>
  <c r="H41" i="10"/>
  <c r="H47" i="10" s="1"/>
  <c r="H50" i="10" s="1"/>
  <c r="P108" i="20" s="1"/>
  <c r="P106" i="20" s="1"/>
  <c r="P100" i="20" s="1"/>
  <c r="AF12" i="20"/>
  <c r="AF9" i="20" s="1"/>
  <c r="AF10" i="20" s="1"/>
  <c r="AF11" i="20" s="1"/>
  <c r="D12" i="20"/>
  <c r="D66" i="20"/>
  <c r="D67" i="20" s="1"/>
  <c r="D76" i="20"/>
  <c r="D77" i="20" s="1"/>
  <c r="C80" i="20"/>
  <c r="C42" i="10"/>
  <c r="C48" i="10" s="1"/>
  <c r="C51" i="10" s="1"/>
  <c r="D108" i="20" s="1"/>
  <c r="Q32" i="15" s="1"/>
  <c r="J35" i="20"/>
  <c r="J36" i="20" s="1"/>
  <c r="J37" i="20" s="1"/>
  <c r="P41" i="10"/>
  <c r="P47" i="10" s="1"/>
  <c r="P50" i="10" s="1"/>
  <c r="AF108" i="20" s="1"/>
  <c r="AF106" i="20" s="1"/>
  <c r="AF100" i="20" s="1"/>
  <c r="S6" i="15"/>
  <c r="W31" i="15"/>
  <c r="C47" i="16"/>
  <c r="F47" i="16" s="1"/>
  <c r="AD35" i="20"/>
  <c r="Z13" i="20"/>
  <c r="Z14" i="20" s="1"/>
  <c r="Z9" i="20"/>
  <c r="Z10" i="20" s="1"/>
  <c r="Z11" i="20" s="1"/>
  <c r="N36" i="20"/>
  <c r="N37" i="20" s="1"/>
  <c r="N12" i="20"/>
  <c r="G41" i="10"/>
  <c r="G47" i="10" s="1"/>
  <c r="G50" i="10" s="1"/>
  <c r="N108" i="20" s="1"/>
  <c r="N106" i="20" s="1"/>
  <c r="N100" i="20" s="1"/>
  <c r="L13" i="20"/>
  <c r="L14" i="20" s="1"/>
  <c r="L9" i="20"/>
  <c r="L10" i="20" s="1"/>
  <c r="L11" i="20" s="1"/>
  <c r="V36" i="20"/>
  <c r="V37" i="20" s="1"/>
  <c r="V12" i="20"/>
  <c r="K41" i="10"/>
  <c r="K47" i="10" s="1"/>
  <c r="K50" i="10" s="1"/>
  <c r="V108" i="20" s="1"/>
  <c r="V106" i="20" s="1"/>
  <c r="V100" i="20" s="1"/>
  <c r="P13" i="20"/>
  <c r="P14" i="20" s="1"/>
  <c r="P9" i="20"/>
  <c r="P10" i="20" s="1"/>
  <c r="P11" i="20" s="1"/>
  <c r="W36" i="15"/>
  <c r="C50" i="16"/>
  <c r="F50" i="16" s="1"/>
  <c r="R9" i="20"/>
  <c r="R10" i="20" s="1"/>
  <c r="R11" i="20" s="1"/>
  <c r="R13" i="20"/>
  <c r="R14" i="20" s="1"/>
  <c r="R6" i="20"/>
  <c r="AB13" i="20"/>
  <c r="AB14" i="20" s="1"/>
  <c r="AB9" i="20"/>
  <c r="AB10" i="20" s="1"/>
  <c r="AB11" i="20" s="1"/>
  <c r="T36" i="20"/>
  <c r="T37" i="20" s="1"/>
  <c r="T12" i="20"/>
  <c r="J41" i="10"/>
  <c r="J47" i="10" s="1"/>
  <c r="J50" i="10" s="1"/>
  <c r="T108" i="20" s="1"/>
  <c r="T106" i="20" s="1"/>
  <c r="T100" i="20" s="1"/>
  <c r="X36" i="20"/>
  <c r="X37" i="20" s="1"/>
  <c r="X12" i="20"/>
  <c r="L41" i="10"/>
  <c r="L47" i="10" s="1"/>
  <c r="L50" i="10" s="1"/>
  <c r="X108" i="20" s="1"/>
  <c r="X106" i="20" s="1"/>
  <c r="X100" i="20" s="1"/>
  <c r="L6" i="20" l="1"/>
  <c r="AB6" i="20"/>
  <c r="AB23" i="20" s="1"/>
  <c r="AB24" i="20" s="1"/>
  <c r="Z6" i="20"/>
  <c r="B27" i="20"/>
  <c r="D20" i="16"/>
  <c r="D19" i="16" s="1"/>
  <c r="E47" i="16"/>
  <c r="D47" i="16" s="1"/>
  <c r="E53" i="16"/>
  <c r="D53" i="16" s="1"/>
  <c r="E41" i="16"/>
  <c r="D41" i="16" s="1"/>
  <c r="E42" i="16"/>
  <c r="D42" i="16" s="1"/>
  <c r="E54" i="16"/>
  <c r="D54" i="16" s="1"/>
  <c r="E46" i="16"/>
  <c r="D46" i="16" s="1"/>
  <c r="E49" i="16"/>
  <c r="D49" i="16" s="1"/>
  <c r="E61" i="16"/>
  <c r="D61" i="16" s="1"/>
  <c r="E58" i="16"/>
  <c r="D58" i="16" s="1"/>
  <c r="E57" i="16"/>
  <c r="D57" i="16" s="1"/>
  <c r="E51" i="16"/>
  <c r="D51" i="16" s="1"/>
  <c r="E43" i="16"/>
  <c r="D43" i="16" s="1"/>
  <c r="E56" i="16"/>
  <c r="D56" i="16" s="1"/>
  <c r="E59" i="16"/>
  <c r="D59" i="16" s="1"/>
  <c r="E44" i="16"/>
  <c r="D44" i="16" s="1"/>
  <c r="E48" i="16"/>
  <c r="D48" i="16" s="1"/>
  <c r="E60" i="16"/>
  <c r="D60" i="16" s="1"/>
  <c r="E62" i="16"/>
  <c r="D62" i="16" s="1"/>
  <c r="E45" i="16"/>
  <c r="D45" i="16" s="1"/>
  <c r="E55" i="16"/>
  <c r="D55" i="16" s="1"/>
  <c r="E63" i="16"/>
  <c r="D63" i="16" s="1"/>
  <c r="E52" i="16"/>
  <c r="D52" i="16" s="1"/>
  <c r="E50" i="16"/>
  <c r="D50" i="16" s="1"/>
  <c r="X18" i="20"/>
  <c r="X19" i="20" s="1"/>
  <c r="X20" i="20" s="1"/>
  <c r="X101" i="20"/>
  <c r="V18" i="20"/>
  <c r="V19" i="20" s="1"/>
  <c r="V20" i="20" s="1"/>
  <c r="V101" i="20"/>
  <c r="N18" i="20"/>
  <c r="N19" i="20" s="1"/>
  <c r="N20" i="20" s="1"/>
  <c r="N101" i="20"/>
  <c r="AF18" i="20"/>
  <c r="AF19" i="20" s="1"/>
  <c r="AF20" i="20" s="1"/>
  <c r="AF101" i="20"/>
  <c r="P18" i="20"/>
  <c r="P19" i="20" s="1"/>
  <c r="P20" i="20" s="1"/>
  <c r="P101" i="20"/>
  <c r="T18" i="20"/>
  <c r="T19" i="20" s="1"/>
  <c r="T20" i="20" s="1"/>
  <c r="T101" i="20"/>
  <c r="P6" i="20"/>
  <c r="P7" i="20" s="1"/>
  <c r="P8" i="20" s="1"/>
  <c r="AF13" i="20"/>
  <c r="AF14" i="20" s="1"/>
  <c r="D106" i="20"/>
  <c r="D13" i="20"/>
  <c r="D9" i="20"/>
  <c r="D10" i="20" s="1"/>
  <c r="D11" i="20" s="1"/>
  <c r="J12" i="20"/>
  <c r="J13" i="20" s="1"/>
  <c r="J14" i="20" s="1"/>
  <c r="E42" i="10"/>
  <c r="E48" i="10" s="1"/>
  <c r="E51" i="10" s="1"/>
  <c r="J108" i="20" s="1"/>
  <c r="J106" i="20" s="1"/>
  <c r="J100" i="20" s="1"/>
  <c r="T13" i="20"/>
  <c r="T14" i="20" s="1"/>
  <c r="T6" i="20"/>
  <c r="T9" i="20"/>
  <c r="T10" i="20" s="1"/>
  <c r="T11" i="20" s="1"/>
  <c r="V13" i="20"/>
  <c r="V14" i="20" s="1"/>
  <c r="V9" i="20"/>
  <c r="V10" i="20" s="1"/>
  <c r="V11" i="20" s="1"/>
  <c r="R7" i="20"/>
  <c r="R8" i="20" s="1"/>
  <c r="R23" i="20"/>
  <c r="R24" i="20" s="1"/>
  <c r="AD36" i="20"/>
  <c r="AD37" i="20" s="1"/>
  <c r="AD12" i="20"/>
  <c r="O41" i="10"/>
  <c r="O47" i="10" s="1"/>
  <c r="O50" i="10" s="1"/>
  <c r="AD108" i="20" s="1"/>
  <c r="AD106" i="20" s="1"/>
  <c r="AD100" i="20" s="1"/>
  <c r="X13" i="20"/>
  <c r="X14" i="20" s="1"/>
  <c r="X9" i="20"/>
  <c r="X10" i="20" s="1"/>
  <c r="X11" i="20" s="1"/>
  <c r="AB7" i="20"/>
  <c r="AB8" i="20" s="1"/>
  <c r="Q31" i="15"/>
  <c r="X32" i="15"/>
  <c r="L7" i="20"/>
  <c r="L8" i="20" s="1"/>
  <c r="L23" i="20"/>
  <c r="L24" i="20" s="1"/>
  <c r="N13" i="20"/>
  <c r="N14" i="20" s="1"/>
  <c r="N9" i="20"/>
  <c r="N10" i="20" s="1"/>
  <c r="N11" i="20" s="1"/>
  <c r="Z23" i="20"/>
  <c r="Z24" i="20" s="1"/>
  <c r="Z7" i="20"/>
  <c r="Z8" i="20" s="1"/>
  <c r="W6" i="15"/>
  <c r="N6" i="20" l="1"/>
  <c r="N23" i="20" s="1"/>
  <c r="N24" i="20" s="1"/>
  <c r="D14" i="20"/>
  <c r="E20" i="16"/>
  <c r="E19" i="16" s="1"/>
  <c r="F93" i="15" s="1"/>
  <c r="D100" i="20"/>
  <c r="E22" i="16" s="1"/>
  <c r="F94" i="15" s="1"/>
  <c r="F95" i="15"/>
  <c r="E23" i="16"/>
  <c r="D10" i="16" s="1"/>
  <c r="X6" i="20"/>
  <c r="X23" i="20" s="1"/>
  <c r="X24" i="20" s="1"/>
  <c r="V6" i="20"/>
  <c r="V23" i="20" s="1"/>
  <c r="V24" i="20" s="1"/>
  <c r="AF6" i="20"/>
  <c r="AF7" i="20" s="1"/>
  <c r="AF8" i="20" s="1"/>
  <c r="AD18" i="20"/>
  <c r="AD19" i="20" s="1"/>
  <c r="AD20" i="20" s="1"/>
  <c r="AD101" i="20"/>
  <c r="J18" i="20"/>
  <c r="J19" i="20" s="1"/>
  <c r="J20" i="20" s="1"/>
  <c r="J101" i="20"/>
  <c r="D18" i="20"/>
  <c r="P23" i="20"/>
  <c r="P24" i="20" s="1"/>
  <c r="J9" i="20"/>
  <c r="J10" i="20" s="1"/>
  <c r="J11" i="20" s="1"/>
  <c r="X31" i="15"/>
  <c r="Y32" i="15"/>
  <c r="Y31" i="15" s="1"/>
  <c r="Y6" i="15" s="1"/>
  <c r="AD9" i="20"/>
  <c r="AD10" i="20" s="1"/>
  <c r="AD11" i="20" s="1"/>
  <c r="AD13" i="20"/>
  <c r="AD14" i="20" s="1"/>
  <c r="N7" i="20"/>
  <c r="N8" i="20" s="1"/>
  <c r="T7" i="20"/>
  <c r="T8" i="20" s="1"/>
  <c r="T23" i="20"/>
  <c r="T24" i="20" s="1"/>
  <c r="X7" i="20" l="1"/>
  <c r="X8" i="20" s="1"/>
  <c r="V7" i="20"/>
  <c r="V8" i="20" s="1"/>
  <c r="AD6" i="20"/>
  <c r="AD7" i="20" s="1"/>
  <c r="AD8" i="20" s="1"/>
  <c r="D115" i="20"/>
  <c r="D101" i="20"/>
  <c r="D19" i="20"/>
  <c r="D20" i="20" s="1"/>
  <c r="D22" i="16"/>
  <c r="D18" i="16" s="1"/>
  <c r="AF23" i="20"/>
  <c r="AF24" i="20" s="1"/>
  <c r="D6" i="20"/>
  <c r="D7" i="20" s="1"/>
  <c r="F96" i="15" s="1"/>
  <c r="F97" i="15" s="1"/>
  <c r="C27" i="20"/>
  <c r="J6" i="20"/>
  <c r="AD23" i="20" l="1"/>
  <c r="AD24" i="20" s="1"/>
  <c r="F89" i="15"/>
  <c r="C35" i="16"/>
  <c r="D23" i="20"/>
  <c r="J23" i="20"/>
  <c r="J24" i="20" s="1"/>
  <c r="J7" i="20"/>
  <c r="J8" i="20" s="1"/>
  <c r="D24" i="20"/>
  <c r="D8" i="20"/>
  <c r="C34" i="16" l="1"/>
  <c r="C36" i="16" s="1"/>
  <c r="F91" i="15" s="1"/>
  <c r="F90" i="15"/>
  <c r="C32" i="16" l="1"/>
  <c r="C33" i="16" s="1"/>
  <c r="D33" i="16" s="1"/>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<sst xmlns="http://schemas.openxmlformats.org/spreadsheetml/2006/main" count="5354" uniqueCount="1949">
  <si>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</si>
  <si>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</si>
  <si>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</si>
  <si>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</si>
  <si>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</si>
  <si>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</si>
  <si>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</si>
  <si>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</si>
  <si>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</si>
  <si>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</si>
  <si>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</si>
  <si>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</si>
  <si>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</si>
  <si>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</si>
  <si>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</si>
  <si>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</si>
  <si>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</si>
  <si>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</si>
  <si>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</si>
  <si>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</si>
  <si>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</si>
  <si>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</si>
  <si>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</si>
  <si>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</si>
  <si>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</si>
  <si>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</si>
  <si>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</si>
  <si>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</si>
  <si>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</si>
  <si>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</si>
  <si>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</si>
  <si>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</si>
  <si>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</si>
  <si>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</si>
  <si>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</si>
  <si>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</si>
  <si>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</si>
  <si>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</si>
  <si>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</si>
  <si>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</si>
  <si>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</si>
  <si>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</si>
  <si>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</si>
  <si>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</si>
  <si>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</si>
  <si>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</si>
  <si>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</si>
  <si>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</si>
  <si>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</si>
  <si>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</si>
  <si>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</si>
  <si>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</si>
  <si>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</si>
  <si>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</si>
  <si>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</si>
  <si>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</si>
  <si>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</si>
  <si>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</si>
  <si>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</si>
  <si>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</si>
  <si>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</si>
  <si>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</si>
  <si>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</si>
  <si>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</si>
  <si>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</si>
  <si>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</si>
  <si>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</si>
  <si>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</si>
  <si>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</si>
  <si>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</si>
  <si>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</si>
  <si>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</si>
  <si>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</si>
  <si>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</si>
  <si>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</si>
  <si>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</si>
  <si>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</si>
  <si>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</si>
  <si>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</si>
  <si>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</si>
  <si>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</si>
  <si>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</si>
  <si>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</si>
  <si>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</si>
  <si>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</si>
  <si>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</si>
  <si>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</si>
  <si>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</si>
  <si>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</si>
  <si>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</si>
  <si>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</si>
  <si>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</si>
  <si>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</si>
  <si>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</si>
  <si>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</si>
  <si>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</si>
  <si>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</si>
  <si>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</si>
  <si>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</si>
  <si>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</si>
  <si>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</si>
  <si>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</si>
  <si>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</si>
  <si>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</si>
  <si>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</si>
  <si>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</si>
  <si>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</si>
  <si>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</si>
  <si>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</si>
  <si>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</si>
  <si>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</si>
  <si>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</si>
  <si>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</si>
  <si>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</si>
  <si>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</si>
  <si>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</si>
  <si>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</si>
  <si>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</si>
  <si>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</si>
  <si>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</si>
  <si>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</si>
  <si>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</si>
  <si>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</si>
  <si>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</si>
  <si>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</si>
  <si>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</si>
  <si>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</si>
  <si>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</si>
  <si>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</si>
  <si>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</si>
  <si>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</si>
  <si>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</si>
  <si>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</si>
  <si>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</si>
  <si>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</si>
  <si>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</si>
  <si>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</si>
  <si>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</si>
  <si>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</si>
  <si>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</si>
  <si>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</si>
  <si>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</si>
  <si>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</si>
  <si>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</si>
  <si>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</si>
  <si>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</si>
  <si>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</si>
  <si>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</si>
  <si>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</si>
  <si>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</si>
  <si>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</si>
  <si>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</si>
  <si>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</si>
  <si>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</si>
  <si>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</si>
  <si>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</si>
  <si>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</si>
  <si>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</si>
  <si>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</si>
  <si>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</si>
  <si>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</si>
  <si>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</si>
  <si>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</si>
  <si>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</si>
  <si>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</si>
  <si>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</si>
  <si>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</si>
  <si>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</si>
  <si>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</si>
  <si>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</si>
  <si>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</si>
  <si>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</si>
  <si>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</si>
  <si>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</si>
  <si>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</si>
  <si>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</si>
  <si>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</si>
  <si>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</si>
  <si>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</si>
  <si>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</si>
  <si>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</si>
  <si>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</si>
  <si>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</si>
  <si>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</si>
  <si>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</si>
  <si>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</si>
  <si>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</si>
  <si>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</si>
  <si>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</si>
  <si>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</si>
  <si>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</si>
  <si>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</si>
  <si>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</si>
  <si>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</si>
  <si>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</si>
  <si>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</si>
  <si>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</si>
  <si>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</si>
  <si>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</si>
  <si>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</si>
  <si>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</si>
  <si>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</si>
  <si>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</si>
  <si>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</si>
  <si>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</si>
  <si>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</si>
  <si>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</si>
  <si>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</si>
  <si>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</si>
  <si>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</si>
  <si>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</si>
  <si>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</si>
  <si>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</si>
  <si>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</si>
  <si>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</si>
  <si>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</si>
  <si>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</si>
  <si>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</si>
  <si>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</si>
  <si>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</si>
  <si>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</si>
  <si>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</si>
  <si>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</si>
  <si>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</si>
  <si>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</si>
  <si>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</si>
  <si>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</si>
  <si>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</si>
  <si>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</si>
  <si>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</si>
  <si>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</si>
  <si>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</si>
  <si>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</si>
  <si>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</si>
  <si>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</si>
  <si>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</si>
  <si>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</si>
  <si>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</si>
  <si>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</si>
  <si>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</si>
  <si>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</si>
  <si>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</si>
  <si>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</si>
  <si>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</si>
  <si>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</si>
  <si>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</si>
  <si>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</si>
  <si>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</si>
  <si>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</si>
  <si>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</si>
  <si>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</si>
  <si>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</si>
  <si>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</si>
  <si>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</si>
  <si>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</si>
  <si>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</si>
  <si>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</si>
  <si>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</si>
  <si>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</si>
  <si>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</si>
  <si>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</si>
  <si>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</si>
  <si>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</si>
  <si>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</si>
  <si>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</si>
  <si>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</si>
  <si>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</si>
  <si>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</si>
  <si>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</si>
  <si>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</si>
  <si>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</si>
  <si>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</si>
  <si>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</si>
  <si>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</si>
  <si>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</si>
  <si>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</si>
  <si>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</si>
  <si>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</si>
  <si>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</si>
  <si>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</si>
  <si>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</si>
  <si>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</si>
  <si>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</si>
  <si>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</si>
  <si>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</si>
  <si>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</si>
  <si>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</si>
  <si>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</si>
  <si>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</si>
  <si>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</si>
  <si>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</si>
  <si>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</si>
  <si>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</si>
  <si>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</si>
  <si>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</si>
  <si>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</si>
  <si>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</si>
  <si>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</si>
  <si>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</si>
  <si>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</si>
  <si>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</si>
  <si>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</si>
  <si>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</si>
  <si>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</si>
  <si>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</si>
  <si>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</si>
  <si>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</si>
  <si>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</si>
  <si>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</si>
  <si>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</si>
  <si>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</si>
  <si>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</si>
  <si>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</si>
  <si>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</si>
  <si>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</si>
  <si>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</si>
  <si>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</si>
  <si>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</si>
  <si>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</si>
  <si>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</si>
  <si>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</si>
  <si>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</si>
  <si>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</si>
  <si>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</si>
  <si>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</si>
  <si>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</si>
  <si>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</si>
  <si>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</si>
  <si>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</si>
  <si>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</si>
  <si>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</si>
  <si>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</si>
  <si>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</si>
  <si>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</si>
  <si>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</si>
  <si>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</si>
  <si>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</si>
  <si>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</si>
  <si>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</si>
  <si>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</si>
  <si>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</si>
  <si>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</si>
  <si>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</si>
  <si>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</si>
  <si>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</si>
  <si>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</si>
  <si>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</si>
  <si>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</si>
  <si>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</si>
  <si>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</si>
  <si>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</si>
  <si>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</si>
  <si>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</si>
  <si>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</si>
  <si>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</si>
  <si>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</si>
  <si>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</si>
  <si>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</si>
  <si>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</si>
  <si>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</si>
  <si>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</si>
  <si>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</si>
  <si>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</si>
  <si>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</si>
  <si>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</si>
  <si>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</si>
  <si>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</si>
  <si>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</si>
  <si>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</si>
  <si>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</si>
  <si>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</si>
  <si>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</si>
  <si>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</si>
  <si>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</si>
  <si>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</si>
  <si>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</si>
  <si>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</si>
  <si>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</si>
  <si>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</si>
  <si>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</si>
  <si>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</si>
  <si>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</si>
  <si>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</si>
  <si>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</si>
  <si>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</si>
  <si>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</si>
  <si>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</si>
  <si>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</si>
  <si>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</si>
  <si>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</si>
  <si>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</si>
  <si>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</si>
  <si>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</si>
  <si>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</si>
  <si>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</si>
  <si>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</si>
  <si>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</si>
  <si>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</si>
  <si>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</si>
  <si>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</si>
  <si>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</si>
  <si>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</si>
  <si>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</si>
  <si>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</si>
  <si>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</si>
  <si>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</si>
  <si>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</si>
  <si>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</si>
  <si>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</si>
  <si>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</si>
  <si>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</si>
  <si>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</si>
  <si>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</si>
  <si>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</si>
  <si>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</si>
  <si>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</si>
  <si>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</si>
  <si>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</si>
  <si>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</si>
  <si>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</si>
  <si>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</si>
  <si>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</si>
  <si>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</si>
  <si>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</si>
  <si>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</si>
  <si>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</si>
  <si>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</si>
  <si>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</si>
  <si>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</si>
  <si>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</si>
  <si>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</si>
  <si>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</si>
  <si>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</si>
  <si>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</si>
  <si>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</si>
  <si>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</si>
  <si>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</si>
  <si>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</si>
  <si>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</si>
  <si>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</si>
  <si>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</si>
  <si>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</si>
  <si>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</si>
  <si>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</si>
  <si>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</si>
  <si>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</si>
  <si>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</si>
  <si>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</si>
  <si>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</si>
  <si>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</si>
  <si>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</si>
  <si>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</si>
  <si>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</si>
  <si>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</si>
  <si>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</si>
  <si>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</si>
  <si>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</si>
  <si>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</si>
  <si>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</si>
  <si>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</si>
  <si>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</si>
  <si>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</si>
  <si>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</si>
  <si>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</si>
  <si>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</si>
  <si>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</si>
  <si>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</si>
  <si>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</si>
  <si>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</si>
  <si>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</si>
  <si>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</si>
  <si>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</si>
  <si>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</si>
  <si>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</si>
  <si>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</si>
  <si>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</si>
  <si>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</si>
  <si>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</si>
  <si>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</si>
  <si>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</si>
  <si>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</si>
  <si>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</si>
  <si>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</si>
  <si>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</si>
  <si>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</si>
  <si>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</si>
  <si>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</si>
  <si>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</si>
  <si>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</si>
  <si>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</si>
  <si>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</si>
  <si>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</si>
  <si>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</si>
  <si>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</si>
  <si>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</si>
  <si>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</si>
  <si>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</si>
  <si>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</si>
  <si>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</si>
  <si>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</si>
  <si>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</si>
  <si>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</si>
  <si>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</si>
  <si>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</si>
  <si>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</si>
  <si>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</si>
  <si>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</si>
  <si>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</si>
  <si>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</si>
  <si>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</si>
  <si>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</si>
  <si>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</si>
  <si>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</si>
  <si>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</si>
  <si>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</si>
  <si>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</si>
  <si>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</si>
  <si>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</si>
  <si>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</si>
  <si>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</si>
  <si>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</si>
  <si>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</si>
  <si>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</si>
  <si>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</si>
  <si>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</si>
  <si>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</si>
  <si>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</si>
  <si>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</si>
  <si>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</si>
  <si>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</si>
  <si>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</si>
  <si>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</si>
  <si>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</si>
  <si>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</si>
  <si>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</si>
  <si>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</si>
  <si>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</si>
  <si>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</si>
  <si>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</si>
  <si>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</si>
  <si>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</si>
  <si>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</si>
  <si>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</si>
  <si>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</si>
  <si>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</si>
  <si>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</si>
  <si>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</si>
  <si>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</si>
  <si>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</si>
  <si>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</si>
  <si>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</si>
  <si>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</si>
  <si>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</si>
  <si>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</si>
  <si>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</si>
  <si>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</si>
  <si>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</si>
  <si>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</si>
  <si>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</si>
  <si>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</si>
  <si>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</si>
  <si>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</si>
  <si>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</si>
  <si>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</si>
  <si>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</si>
  <si>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</si>
  <si>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</si>
  <si>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</si>
  <si>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</si>
  <si>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</si>
  <si>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</si>
  <si>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</si>
  <si>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</si>
  <si>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</si>
  <si>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</si>
  <si>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</si>
  <si>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</si>
  <si>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</si>
  <si>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</si>
  <si>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</si>
  <si>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</si>
  <si>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</si>
  <si>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</si>
  <si>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</si>
  <si>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</si>
  <si>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</si>
  <si>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</si>
  <si>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</si>
  <si>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</si>
  <si>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</si>
  <si>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</si>
  <si>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</si>
  <si>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</si>
  <si>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</si>
  <si>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</si>
  <si>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</si>
  <si>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</si>
  <si>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</si>
  <si>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</si>
  <si>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</si>
  <si>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</si>
  <si>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</si>
  <si>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</si>
  <si>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</si>
  <si>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</si>
  <si>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</si>
  <si>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</si>
  <si>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</si>
  <si>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</si>
  <si>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</si>
  <si>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</si>
  <si>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</si>
  <si>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</si>
  <si>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</si>
  <si>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</si>
  <si>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</si>
  <si>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</si>
  <si>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</si>
  <si>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</si>
  <si>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</si>
  <si>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</si>
  <si>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</si>
  <si>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</si>
  <si>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</si>
  <si>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</si>
  <si>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</si>
  <si>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</si>
  <si>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</si>
  <si>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</si>
  <si>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</si>
  <si>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</si>
  <si>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</si>
  <si>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</si>
  <si>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</si>
  <si>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</si>
  <si>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</si>
  <si>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</si>
  <si>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</si>
  <si>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</si>
  <si>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</si>
  <si>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</si>
  <si>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</si>
  <si>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</si>
  <si>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</si>
  <si>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</si>
  <si>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</si>
  <si>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</si>
  <si>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</si>
  <si>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</si>
  <si>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</si>
  <si>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</si>
  <si>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</si>
  <si>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</si>
  <si>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</si>
  <si>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</si>
  <si>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</si>
  <si>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</si>
  <si>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</si>
  <si>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</si>
  <si>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</si>
  <si>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</si>
  <si>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</si>
  <si>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</si>
  <si>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</si>
  <si>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</si>
  <si>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</si>
  <si>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</si>
  <si>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</si>
  <si>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</si>
  <si>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</si>
  <si>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</si>
  <si>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</si>
  <si>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</si>
  <si>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</si>
  <si>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</si>
  <si>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</si>
  <si>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</si>
  <si>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</si>
  <si>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</si>
  <si>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</si>
  <si>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</si>
  <si>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</si>
  <si>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</si>
  <si>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</si>
  <si>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</si>
  <si>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</si>
  <si>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</si>
  <si>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</si>
  <si>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</si>
  <si>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</si>
  <si>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</si>
  <si>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</si>
  <si>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</si>
  <si>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</si>
  <si>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</si>
  <si>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</si>
  <si>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</si>
  <si>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</si>
  <si>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</si>
  <si>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</si>
  <si>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</si>
  <si>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</si>
  <si>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</si>
  <si>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</si>
  <si>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</si>
  <si>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</si>
  <si>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</si>
  <si>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</si>
  <si>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</si>
  <si>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</si>
  <si>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</si>
  <si>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</si>
  <si>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</si>
  <si>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</si>
  <si>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</si>
  <si>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</si>
  <si>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</si>
  <si>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</si>
  <si>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</si>
  <si>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</si>
  <si>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</si>
  <si>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</si>
  <si>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</si>
  <si>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</si>
  <si>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</si>
  <si>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</si>
  <si>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</si>
  <si>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</si>
  <si>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</si>
  <si>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</si>
  <si>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</si>
  <si>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</si>
  <si>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</si>
  <si>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</si>
  <si>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</si>
  <si>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</si>
  <si>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</si>
  <si>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</si>
  <si>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</si>
  <si>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</si>
  <si>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</si>
  <si>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</si>
  <si>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</si>
  <si>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</si>
  <si>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</si>
  <si>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</si>
  <si>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</si>
  <si>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</si>
  <si>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</si>
  <si>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</si>
  <si>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</si>
  <si>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</si>
  <si>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</si>
  <si>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</si>
  <si>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</si>
  <si>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</si>
  <si>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</si>
  <si>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</si>
  <si>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</si>
  <si>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</si>
  <si>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</si>
  <si>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</si>
  <si>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</si>
  <si>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</si>
  <si>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</si>
  <si>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</si>
  <si>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</si>
  <si>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</si>
  <si>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</si>
  <si>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</si>
  <si>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</si>
  <si>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</si>
  <si>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</si>
  <si>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</si>
  <si>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</si>
  <si>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</si>
  <si>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</si>
  <si>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</si>
  <si>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</si>
  <si>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</si>
  <si>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</si>
  <si>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</si>
  <si>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</si>
  <si>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</si>
  <si>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</si>
  <si>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</si>
  <si>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</si>
  <si>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</si>
  <si>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</si>
  <si>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</si>
  <si>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</si>
  <si>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</si>
  <si>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</si>
  <si>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</si>
  <si>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</si>
  <si>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</si>
  <si>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</si>
  <si>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</si>
  <si>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</si>
  <si>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</si>
  <si>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</si>
  <si>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</si>
  <si>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</si>
  <si>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</si>
  <si>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</si>
  <si>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</si>
  <si>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</si>
  <si>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</si>
  <si>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</si>
  <si>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</si>
  <si>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</si>
  <si>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</si>
  <si>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</si>
  <si>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</si>
  <si>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</si>
  <si>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</si>
  <si>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</si>
  <si>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</si>
  <si>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</si>
  <si>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</si>
  <si>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</si>
  <si>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</si>
  <si>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</si>
  <si>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</si>
  <si>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</si>
  <si>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</si>
  <si>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</si>
  <si>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</si>
  <si>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</si>
  <si>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</si>
  <si>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</si>
  <si>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</si>
  <si>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</si>
  <si>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</si>
  <si>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</si>
  <si>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</si>
  <si>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</si>
  <si>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</si>
  <si>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</si>
  <si>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</si>
  <si>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</si>
  <si>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</si>
  <si>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</si>
  <si>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</si>
  <si>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</si>
  <si>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</si>
  <si>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</si>
  <si>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</si>
  <si>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</si>
  <si>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</si>
  <si>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</si>
  <si>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</si>
  <si>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</si>
  <si>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</si>
  <si>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</si>
  <si>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</si>
  <si>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</si>
  <si>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</si>
  <si>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</si>
  <si>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</si>
  <si>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</si>
  <si>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</si>
  <si>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</si>
  <si>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</si>
  <si>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</si>
  <si>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</si>
  <si>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</si>
  <si>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</si>
  <si>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</si>
  <si>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</si>
  <si>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</si>
  <si>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</si>
  <si>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</si>
  <si>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</si>
  <si>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</si>
  <si>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</si>
  <si>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</si>
  <si>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</si>
  <si>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</si>
  <si>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</si>
  <si>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</si>
  <si>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</si>
  <si>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</si>
  <si>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</si>
  <si>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</si>
  <si>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</si>
  <si>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</si>
  <si>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</si>
  <si>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</si>
  <si>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</si>
  <si>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</si>
  <si>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</si>
  <si>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</si>
  <si>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</si>
  <si>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</si>
  <si>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</si>
  <si>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</si>
  <si>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</si>
  <si>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</si>
  <si>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</si>
  <si>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</si>
  <si>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</si>
  <si>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</si>
  <si>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</si>
  <si>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</si>
  <si>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</si>
  <si>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</si>
  <si>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</si>
  <si>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</si>
  <si>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</si>
  <si>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</si>
  <si>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</si>
  <si>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</si>
  <si>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</si>
  <si>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</si>
  <si>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</si>
  <si>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</si>
  <si>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</si>
  <si>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</si>
  <si>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</si>
  <si>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</si>
  <si>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</si>
  <si>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</si>
  <si>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</si>
  <si>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</si>
  <si>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</si>
  <si>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</si>
  <si>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</si>
  <si>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</si>
  <si>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</si>
  <si>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</si>
  <si>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</si>
  <si>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</si>
  <si>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</si>
  <si>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</si>
  <si>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</si>
  <si>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</si>
  <si>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</si>
  <si>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</si>
  <si>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</si>
  <si>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</si>
  <si>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</si>
  <si>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</si>
  <si>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</si>
  <si>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</si>
  <si>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</si>
  <si>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</si>
  <si>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</si>
  <si>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</si>
  <si>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</si>
  <si>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</si>
  <si>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</si>
  <si>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</si>
  <si>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</si>
  <si>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</si>
  <si>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</si>
  <si>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</si>
  <si>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</si>
  <si>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</si>
  <si>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</si>
  <si>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</si>
  <si>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</si>
  <si>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</si>
  <si>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</si>
  <si>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</si>
  <si>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</si>
  <si>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</si>
  <si>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</si>
  <si>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</si>
  <si>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</si>
  <si>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</si>
  <si>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</si>
  <si>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</si>
  <si>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</si>
  <si>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</si>
  <si>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</si>
  <si>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</si>
  <si>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</si>
  <si>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</si>
  <si>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</si>
  <si>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</si>
  <si>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</si>
  <si>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</si>
  <si>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</si>
  <si>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</si>
  <si>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</si>
  <si>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</si>
  <si>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</si>
  <si>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</si>
  <si>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</si>
  <si>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</si>
  <si>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</si>
  <si>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</si>
  <si>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</si>
  <si>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</si>
  <si>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</si>
  <si>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</si>
  <si>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</si>
  <si>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</si>
  <si>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</si>
  <si>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</si>
  <si>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</si>
  <si>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</si>
  <si>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</si>
  <si>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</si>
  <si>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</si>
  <si>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</si>
  <si>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</si>
  <si>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</si>
  <si>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</si>
  <si>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</si>
  <si>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</si>
  <si>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</si>
  <si>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</si>
  <si>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</si>
  <si>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</si>
  <si>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</si>
  <si>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</si>
  <si>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</si>
  <si>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</si>
  <si>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</si>
  <si>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</si>
  <si>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</si>
  <si>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</si>
  <si>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</si>
  <si>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</si>
  <si>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</si>
  <si>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</si>
  <si>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</si>
  <si>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</si>
  <si>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</si>
  <si>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</si>
  <si>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</si>
  <si>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</si>
  <si>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</si>
  <si>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</si>
  <si>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</si>
  <si>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</si>
  <si>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</si>
  <si>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</si>
  <si>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</si>
  <si>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</si>
  <si>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</si>
  <si>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</si>
  <si>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</si>
  <si>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</si>
  <si>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</si>
  <si>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</si>
  <si>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</si>
  <si>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</si>
  <si>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</si>
  <si>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</si>
  <si>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</si>
  <si>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</si>
  <si>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</si>
  <si>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</si>
  <si>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</si>
  <si>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</si>
  <si>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</si>
  <si>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</si>
  <si>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</si>
  <si>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</si>
  <si>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</si>
  <si>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</si>
  <si>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</si>
  <si>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</si>
  <si>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</si>
  <si>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</si>
  <si>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</si>
  <si>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</si>
  <si>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</si>
  <si>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</si>
  <si>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</si>
  <si>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</si>
  <si>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</si>
  <si>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</si>
  <si>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</si>
  <si>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</si>
  <si>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</si>
  <si>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</si>
  <si>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</si>
  <si>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</si>
  <si>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</si>
  <si>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</si>
  <si>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</si>
  <si>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</si>
  <si>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</si>
  <si>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</si>
  <si>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</si>
  <si>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</si>
  <si>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</si>
  <si>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</si>
  <si>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</si>
  <si>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</si>
  <si>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</si>
  <si>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</si>
  <si>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</si>
  <si>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</si>
  <si>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</si>
  <si>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</si>
  <si>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</si>
  <si>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</si>
  <si>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</si>
  <si>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</si>
  <si>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</si>
  <si>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</si>
  <si>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</si>
  <si>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</si>
  <si>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</si>
  <si>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</si>
  <si>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</si>
  <si>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</si>
  <si>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</si>
  <si>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</si>
  <si>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</si>
  <si>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</si>
  <si>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</si>
  <si>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</si>
  <si>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</si>
  <si>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</si>
  <si>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</si>
  <si>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</si>
  <si>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</si>
  <si>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</si>
  <si>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</si>
  <si>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</si>
  <si>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</si>
  <si>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</si>
  <si>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</si>
  <si>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</si>
  <si>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</si>
  <si>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</si>
  <si>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</si>
  <si>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</si>
  <si>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</si>
  <si>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</si>
  <si>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</si>
  <si>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</si>
  <si>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</si>
  <si>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</si>
  <si>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</si>
  <si>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</si>
  <si>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</si>
  <si>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</si>
  <si>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</si>
  <si>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</si>
  <si>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</si>
  <si>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</si>
  <si>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</si>
  <si>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</si>
  <si>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</si>
  <si>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</si>
  <si>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</si>
  <si>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</si>
  <si>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</si>
  <si>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</si>
  <si>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</si>
  <si>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</si>
  <si>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</si>
  <si>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</si>
  <si>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</si>
  <si>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</si>
  <si>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</si>
  <si>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</si>
  <si>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</si>
  <si>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</si>
  <si>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</si>
  <si>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</si>
  <si>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</si>
  <si>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</si>
  <si>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</si>
  <si>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</si>
  <si>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</si>
  <si>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</si>
  <si>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</si>
  <si>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</si>
  <si>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</si>
  <si>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</si>
  <si>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</si>
  <si>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</si>
  <si>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</si>
  <si>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</si>
  <si>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</si>
  <si>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</si>
  <si>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</si>
  <si>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</si>
  <si>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</si>
  <si>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</si>
  <si>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</si>
  <si>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</si>
  <si>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</si>
  <si>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</si>
  <si>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</si>
  <si>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</si>
  <si>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</si>
  <si>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</si>
  <si>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</si>
  <si>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</si>
  <si>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</si>
  <si>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</si>
  <si>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</si>
  <si>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</si>
  <si>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</si>
  <si>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</si>
  <si>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</si>
  <si>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</si>
  <si>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</si>
  <si>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</si>
  <si>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</si>
  <si>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</si>
  <si>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</si>
  <si>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</si>
  <si>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</si>
  <si>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</si>
  <si>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</si>
  <si>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</si>
  <si>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</si>
  <si>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</si>
  <si>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</si>
  <si>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</si>
  <si>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</si>
  <si>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</si>
  <si>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</si>
  <si>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</si>
  <si>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</si>
  <si>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</si>
  <si>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</si>
  <si>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</si>
  <si>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</si>
  <si>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</si>
  <si>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</si>
  <si>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</si>
  <si>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</si>
  <si>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</si>
  <si>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</si>
  <si>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</si>
  <si>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</si>
  <si>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</si>
  <si>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</si>
  <si>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</si>
  <si>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</si>
  <si>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</si>
  <si>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</si>
  <si>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</si>
  <si>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</si>
  <si>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</si>
  <si>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</si>
  <si>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</si>
  <si>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</si>
  <si>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</si>
  <si>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</si>
  <si>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</si>
  <si>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</si>
  <si>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</si>
  <si>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</si>
  <si>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</si>
  <si>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</si>
  <si>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</si>
  <si>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</si>
  <si>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</si>
  <si>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</si>
  <si>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</si>
  <si>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</si>
  <si>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</si>
  <si>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</si>
  <si>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</si>
  <si>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</si>
  <si>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</si>
  <si>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</si>
  <si>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</si>
  <si>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</si>
  <si>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</si>
  <si>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</si>
  <si>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</si>
  <si>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</si>
  <si>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</si>
  <si>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</si>
  <si>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</si>
  <si>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</si>
  <si>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</si>
  <si>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</si>
  <si>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</si>
  <si>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</si>
  <si>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</si>
  <si>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</si>
  <si>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</si>
  <si>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</si>
  <si>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</si>
  <si>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</si>
  <si>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</si>
  <si>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</si>
  <si>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</si>
  <si>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</si>
  <si>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</si>
  <si>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</si>
  <si>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</si>
  <si>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</si>
  <si>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</si>
  <si>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</si>
  <si>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</si>
  <si>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</si>
  <si>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</si>
  <si>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</si>
  <si>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</si>
  <si>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</si>
  <si>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</si>
  <si>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</si>
  <si>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</si>
  <si>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</si>
  <si>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</si>
  <si>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</si>
  <si>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</si>
  <si>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</si>
  <si>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</si>
  <si>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</si>
  <si>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</si>
  <si>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</si>
  <si>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</si>
  <si>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</si>
  <si>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</si>
  <si>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</si>
  <si>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</si>
  <si>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</si>
  <si>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</si>
  <si>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</si>
  <si>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</si>
  <si>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</si>
  <si>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</si>
  <si>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</si>
  <si>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</si>
  <si>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</si>
  <si>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</si>
  <si>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</si>
  <si>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</si>
  <si>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</si>
  <si>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</si>
  <si>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</si>
  <si>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</si>
  <si>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</si>
  <si>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</si>
  <si>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</si>
  <si>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</si>
  <si>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</si>
  <si>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</si>
  <si>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</si>
  <si>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</si>
  <si>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</si>
  <si>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</si>
  <si>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</si>
  <si>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</si>
  <si>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</si>
  <si>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</si>
  <si>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</si>
  <si>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</si>
  <si>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</si>
  <si>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</si>
  <si>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</si>
  <si>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</si>
  <si>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</si>
  <si>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</si>
  <si>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</si>
  <si>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</si>
  <si>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</si>
  <si>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</si>
  <si>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</si>
  <si>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</si>
  <si>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</si>
  <si>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</si>
  <si>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</si>
  <si>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</si>
  <si>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</si>
  <si>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</si>
  <si>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</si>
  <si>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</si>
  <si>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</si>
  <si>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</si>
  <si>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</si>
  <si>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</si>
  <si>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</si>
  <si>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</si>
  <si>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</si>
  <si>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</si>
  <si>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</si>
  <si>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</si>
  <si>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</si>
  <si>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</si>
  <si>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</si>
  <si>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</si>
  <si>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</si>
  <si>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</si>
  <si>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</si>
  <si>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</si>
  <si>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</si>
  <si>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</si>
  <si>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</si>
  <si>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</si>
  <si>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</si>
  <si>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</si>
  <si>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</si>
  <si>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</si>
  <si>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</si>
  <si>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</si>
  <si>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</si>
  <si>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</si>
  <si>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</si>
  <si>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</si>
  <si>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</si>
  <si>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</si>
  <si>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</si>
  <si>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</si>
  <si>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</si>
  <si>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</si>
  <si>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</si>
  <si>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</si>
  <si>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</si>
  <si>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</si>
  <si>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</si>
  <si>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</si>
  <si>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</si>
  <si>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</si>
  <si>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</si>
  <si>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</si>
  <si>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</si>
  <si>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</si>
  <si>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</si>
  <si>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</si>
  <si>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</si>
  <si>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</si>
  <si>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</si>
  <si>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</si>
  <si>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</si>
  <si>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</si>
  <si>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</si>
  <si>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</si>
  <si>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</si>
  <si>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</si>
  <si>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</si>
  <si>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</si>
  <si>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</si>
  <si>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</si>
  <si>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</si>
  <si>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</si>
  <si>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</si>
  <si>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</si>
  <si>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</si>
  <si>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</si>
  <si>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</si>
  <si>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</si>
  <si>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</si>
  <si>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</si>
  <si>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</si>
  <si>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</si>
  <si>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</si>
  <si>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</si>
  <si>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</si>
  <si>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</si>
  <si>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</si>
  <si>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</si>
  <si>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</si>
  <si>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</si>
  <si>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</si>
  <si>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</si>
  <si>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</si>
  <si>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</si>
  <si>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</si>
  <si>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</si>
  <si>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</si>
  <si>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</si>
  <si>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</si>
  <si>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</si>
  <si>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</si>
  <si>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</si>
  <si>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</si>
  <si>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</si>
  <si>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</si>
  <si>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</si>
  <si>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</si>
  <si>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</si>
  <si>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</si>
  <si>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</si>
  <si>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</si>
  <si>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</si>
  <si>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</si>
  <si>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</si>
  <si>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</si>
  <si>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</si>
  <si>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</si>
  <si>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</si>
  <si>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</si>
  <si>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</si>
  <si>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</si>
  <si>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</si>
  <si>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</si>
  <si>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</si>
  <si>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</si>
  <si>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</si>
  <si>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</si>
  <si>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</si>
  <si>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</si>
  <si>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</si>
  <si>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</si>
  <si>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</si>
  <si>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</si>
  <si>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</si>
  <si>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</si>
  <si>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</si>
  <si>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</si>
  <si>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</si>
  <si>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</si>
  <si>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</si>
  <si>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</si>
  <si>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</si>
  <si>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</si>
  <si>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</si>
  <si>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</si>
  <si>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</si>
  <si>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</si>
  <si>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</si>
  <si>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</si>
  <si>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</si>
  <si>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</si>
  <si>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</si>
  <si>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</si>
  <si>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</si>
  <si>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</si>
  <si>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</si>
  <si>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</si>
  <si>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</si>
  <si>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</si>
  <si>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</si>
  <si>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</si>
  <si>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</si>
  <si>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</si>
  <si>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</si>
  <si>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</si>
  <si>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</si>
  <si>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</si>
  <si>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</si>
  <si>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</si>
  <si>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</si>
  <si>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</si>
  <si>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</si>
  <si>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</si>
  <si>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</si>
  <si>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</si>
  <si>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</si>
  <si>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</si>
  <si>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</si>
  <si>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</si>
  <si>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</si>
  <si>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</si>
  <si>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</si>
  <si>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</si>
  <si>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</si>
  <si>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</si>
  <si>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</si>
  <si>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</si>
  <si>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</si>
  <si>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</si>
  <si>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</si>
  <si>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</si>
  <si>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</si>
  <si>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</si>
  <si>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</si>
  <si>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</si>
  <si>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</si>
  <si>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</si>
  <si>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</si>
  <si>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</si>
  <si>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</si>
  <si>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</si>
  <si>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</si>
  <si>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</si>
  <si>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</si>
  <si>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</si>
  <si>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</si>
  <si>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</si>
  <si>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</si>
  <si>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</si>
  <si>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</si>
  <si>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</si>
  <si>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</si>
  <si>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</si>
  <si>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</si>
  <si>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</si>
  <si>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</si>
  <si>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</si>
  <si>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</si>
  <si>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</si>
  <si>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</si>
  <si>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</si>
  <si>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</si>
  <si>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</si>
  <si>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</si>
  <si>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</si>
  <si>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</si>
  <si>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</si>
  <si>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</si>
  <si>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</si>
  <si>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</si>
  <si>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</si>
  <si>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</si>
  <si>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</si>
  <si>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</si>
  <si>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</si>
  <si>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</si>
  <si>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</si>
  <si>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</si>
  <si>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</si>
  <si>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</si>
  <si>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</si>
  <si>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</si>
  <si>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</si>
  <si>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</si>
  <si>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</si>
  <si>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</si>
  <si>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</si>
  <si>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</si>
  <si>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</si>
  <si>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</si>
  <si>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</si>
  <si>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</si>
  <si>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</si>
  <si>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</si>
  <si>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</si>
  <si>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</si>
  <si>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</si>
  <si>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</si>
  <si>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</si>
  <si>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</si>
  <si>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</si>
  <si>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</si>
  <si>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</si>
  <si>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</si>
  <si>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</si>
  <si>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</si>
  <si>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</si>
  <si>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</si>
  <si>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</si>
  <si>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</si>
  <si>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</si>
  <si>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</si>
  <si>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</si>
  <si>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</si>
  <si>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</si>
  <si>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</si>
  <si>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</si>
  <si>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</si>
  <si>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</si>
  <si>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</si>
  <si>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</si>
  <si>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</si>
  <si>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</si>
  <si>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</si>
  <si>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</si>
  <si>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</si>
  <si>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</si>
  <si>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</si>
  <si>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</si>
  <si>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</si>
  <si>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</si>
  <si>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</si>
  <si>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</si>
  <si>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</si>
  <si>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</si>
  <si>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</si>
  <si>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</si>
  <si>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</si>
  <si>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</si>
  <si>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</si>
  <si>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</si>
  <si>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</si>
  <si>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</si>
  <si>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</si>
  <si>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</si>
  <si>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</si>
  <si>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</si>
  <si>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</si>
  <si>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</si>
  <si>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</si>
  <si>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</si>
  <si>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</si>
  <si>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</si>
  <si>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</si>
  <si>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</si>
  <si>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</si>
  <si>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</si>
  <si>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</si>
  <si>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</si>
  <si>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</si>
  <si>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</si>
  <si>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</si>
  <si>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</si>
  <si>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</si>
  <si>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</si>
  <si>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</si>
  <si>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</si>
  <si>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</si>
  <si>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</si>
  <si>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</si>
  <si>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</si>
  <si>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</si>
  <si>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</si>
  <si>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</si>
  <si>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</si>
  <si>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</si>
  <si>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</si>
  <si>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</si>
  <si>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</si>
  <si>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</si>
  <si>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</si>
  <si>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</si>
  <si>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</si>
  <si>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</si>
  <si>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</si>
  <si>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</si>
  <si>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</si>
  <si>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</si>
  <si>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</si>
  <si>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</si>
  <si>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</si>
  <si>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</si>
  <si>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</si>
  <si>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</si>
  <si>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</si>
  <si>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</si>
  <si>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</si>
  <si>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</si>
  <si>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</si>
  <si>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</si>
  <si>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</si>
  <si>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</si>
  <si>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</si>
  <si>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</si>
  <si>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</si>
  <si>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</si>
  <si>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</si>
  <si>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</si>
  <si>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</si>
  <si>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</si>
  <si>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</si>
  <si>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</si>
  <si>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</si>
  <si>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</si>
  <si>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</si>
  <si>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</si>
  <si>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</si>
  <si>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</si>
  <si>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</si>
  <si>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</si>
  <si>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</si>
  <si>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</si>
  <si>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</si>
  <si>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</si>
  <si>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</si>
  <si>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</si>
  <si>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</si>
  <si>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</si>
  <si>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</si>
  <si>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</si>
  <si>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</si>
  <si>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</si>
  <si>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</si>
  <si>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</si>
  <si>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</si>
  <si>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</si>
  <si>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</si>
  <si>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</si>
  <si>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</si>
  <si>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</si>
  <si>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</si>
  <si>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</si>
  <si>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</si>
  <si>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</si>
  <si>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</si>
  <si>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</si>
  <si>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</si>
  <si>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</si>
  <si>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</si>
  <si>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</si>
  <si>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</si>
  <si>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</si>
  <si>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</si>
  <si>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</si>
  <si>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</si>
  <si>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</si>
  <si>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</si>
  <si>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</si>
  <si>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</si>
  <si>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</si>
  <si>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</si>
  <si>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</si>
  <si>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</si>
  <si>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</si>
  <si>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</si>
  <si>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</si>
  <si>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</si>
  <si>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</si>
  <si>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</si>
  <si>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</si>
  <si>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</si>
  <si>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</si>
  <si>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</si>
  <si>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</si>
  <si>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</si>
  <si>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</si>
  <si>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</si>
  <si>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</si>
  <si>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</si>
  <si>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</si>
  <si>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</si>
  <si>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</si>
  <si>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</si>
  <si>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</si>
  <si>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</si>
  <si>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</si>
  <si>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</si>
  <si>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</si>
  <si>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</si>
  <si>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</si>
  <si>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</si>
  <si>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</si>
  <si>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</si>
  <si>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</si>
  <si>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</si>
  <si>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</si>
  <si>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</si>
  <si>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</si>
  <si>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</si>
  <si>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</si>
  <si>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</si>
  <si>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</si>
  <si>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</si>
  <si>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</si>
  <si>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</si>
  <si>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</si>
  <si>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</si>
  <si>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</si>
  <si>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</si>
  <si>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</si>
  <si>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</si>
  <si>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</si>
  <si>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</si>
  <si>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</si>
  <si>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</si>
  <si>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</si>
  <si>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</si>
  <si>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</si>
  <si>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</si>
  <si>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</si>
  <si>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</si>
  <si>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</si>
  <si>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</si>
  <si>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</si>
  <si>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</si>
  <si>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</si>
  <si>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</si>
  <si>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</si>
  <si>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</si>
  <si>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</si>
  <si>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</si>
  <si>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</si>
  <si>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</si>
  <si>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</si>
  <si>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</si>
  <si>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</si>
  <si>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</si>
  <si>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</si>
  <si>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</si>
  <si>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</si>
  <si>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</si>
  <si>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</si>
  <si>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</si>
  <si>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</si>
  <si>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</si>
  <si>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</si>
  <si>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</si>
  <si>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</si>
  <si>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</si>
  <si>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</si>
  <si>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</si>
  <si>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</si>
  <si>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</si>
  <si>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</si>
  <si>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</si>
  <si>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</si>
  <si>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</si>
  <si>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</si>
  <si>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</si>
  <si>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</si>
  <si>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</si>
  <si>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</si>
  <si>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</si>
  <si>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</si>
  <si>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</si>
  <si>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</si>
  <si>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</si>
  <si>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</si>
  <si>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</si>
  <si>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</si>
  <si>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</si>
  <si>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</si>
  <si>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</si>
  <si>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</si>
  <si>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</si>
  <si>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</si>
  <si>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</si>
  <si>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</si>
  <si>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</si>
  <si>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</si>
  <si>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</si>
  <si>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</si>
  <si>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</si>
  <si>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</si>
  <si>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</si>
  <si>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</si>
  <si>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</si>
  <si>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</si>
  <si>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</si>
  <si>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</si>
  <si>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</si>
  <si>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</si>
  <si>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</si>
  <si>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</si>
  <si>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</si>
  <si>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</si>
  <si>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</si>
  <si>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</si>
  <si>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</si>
  <si>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</si>
  <si>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</si>
  <si>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</si>
  <si>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</si>
  <si>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</si>
  <si>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</si>
  <si>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</si>
  <si>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</si>
  <si>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</si>
  <si>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</si>
  <si>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</si>
  <si>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</si>
  <si>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</si>
  <si>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</si>
  <si>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</si>
  <si>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</si>
  <si>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</si>
  <si>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Версия: 29.05.2017.011</t>
  </si>
  <si>
    <t>Бердск Кирова 30</t>
  </si>
  <si>
    <t>дерево, двойной раздельный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</si>
</sst>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cellStyleXfs>
  <cellXfs count="189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6"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6" fontId="80" fillId="0" borderId="0" xfId="0" applyNumberFormat="1" applyFont="1" applyProtection="1">
      <protection hidden="1"/>
    </xf>
    <xf numFmtId="166"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20" fillId="0" borderId="4" xfId="0" applyNumberFormat="1" applyFont="1" applyBorder="1" applyAlignment="1" applyProtection="1">
      <alignment horizontal="center" vertical="center" wrapText="1"/>
      <protection locked="0"/>
    </xf>
    <xf numFmtId="165" fontId="120" fillId="0" borderId="4" xfId="0" applyNumberFormat="1" applyFont="1" applyBorder="1" applyAlignment="1" applyProtection="1">
      <alignment horizontal="center" vertical="center"/>
      <protection locked="0"/>
    </xf>
    <xf numFmtId="165" fontId="118" fillId="0" borderId="5" xfId="0" applyNumberFormat="1" applyFont="1" applyBorder="1" applyAlignment="1" applyProtection="1">
      <alignment horizontal="center" vertical="center"/>
      <protection locked="0"/>
    </xf>
    <xf numFmtId="165" fontId="118" fillId="0" borderId="4" xfId="0" applyNumberFormat="1" applyFont="1" applyBorder="1" applyAlignment="1" applyProtection="1">
      <alignment horizontal="center" vertical="center" wrapText="1"/>
      <protection locked="0"/>
    </xf>
    <xf numFmtId="0" fontId="123" fillId="20" borderId="0" xfId="0" applyFont="1" applyFill="1"/>
    <xf numFmtId="165"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5"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69"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165" fontId="0" fillId="13" borderId="97" xfId="0" applyNumberFormat="1" applyFill="1" applyBorder="1" applyAlignment="1" applyProtection="1">
      <alignment horizontal="right" vertical="center"/>
      <protection locked="0"/>
    </xf>
    <xf numFmtId="165" fontId="0" fillId="13" borderId="100" xfId="0" applyNumberFormat="1" applyFill="1" applyBorder="1" applyAlignment="1" applyProtection="1">
      <alignment vertical="center"/>
      <protection locked="0"/>
    </xf>
    <xf numFmtId="165" fontId="0" fillId="13" borderId="101" xfId="0" applyNumberFormat="1" applyFill="1" applyBorder="1" applyAlignment="1" applyProtection="1">
      <alignment horizontal="right" vertical="center"/>
      <protection locked="0"/>
    </xf>
    <xf numFmtId="165" fontId="0" fillId="13" borderId="104" xfId="0" applyNumberFormat="1" applyFill="1" applyBorder="1" applyAlignment="1" applyProtection="1">
      <alignment vertical="center"/>
      <protection locked="0"/>
    </xf>
    <xf numFmtId="165" fontId="29" fillId="13" borderId="104" xfId="0" applyNumberFormat="1" applyFont="1" applyFill="1" applyBorder="1" applyAlignment="1" applyProtection="1">
      <alignment vertical="center"/>
      <protection locked="0"/>
    </xf>
    <xf numFmtId="165" fontId="0" fillId="13" borderId="105" xfId="0" applyNumberFormat="1" applyFill="1" applyBorder="1" applyAlignment="1" applyProtection="1">
      <alignment horizontal="right" vertical="center"/>
      <protection locked="0"/>
    </xf>
    <xf numFmtId="165" fontId="0" fillId="13" borderId="108" xfId="0" applyNumberFormat="1" applyFill="1" applyBorder="1" applyAlignment="1" applyProtection="1">
      <alignment vertical="center"/>
      <protection locked="0"/>
    </xf>
    <xf numFmtId="3" fontId="29" fillId="13" borderId="100" xfId="0" applyNumberFormat="1" applyFont="1" applyFill="1" applyBorder="1" applyAlignment="1" applyProtection="1">
      <alignment vertical="center"/>
      <protection locked="0"/>
    </xf>
    <xf numFmtId="3" fontId="29" fillId="13" borderId="104" xfId="0" applyNumberFormat="1" applyFont="1" applyFill="1" applyBorder="1" applyAlignment="1" applyProtection="1">
      <alignment vertical="center"/>
      <protection locked="0"/>
    </xf>
    <xf numFmtId="3" fontId="0" fillId="13" borderId="104" xfId="0" applyNumberFormat="1" applyFill="1" applyBorder="1" applyAlignment="1" applyProtection="1">
      <alignment vertical="center"/>
      <protection locked="0"/>
    </xf>
    <xf numFmtId="3" fontId="29" fillId="13" borderId="108" xfId="0" applyNumberFormat="1" applyFont="1" applyFill="1" applyBorder="1" applyAlignment="1" applyProtection="1">
      <alignment vertical="center"/>
      <protection locked="0"/>
    </xf>
    <xf numFmtId="3" fontId="0" fillId="13" borderId="108" xfId="0" applyNumberFormat="1" applyFill="1" applyBorder="1" applyProtection="1">
      <protection locked="0"/>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1">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402"/>
          <c:y val="9.4835998260953663E-3"/>
        </c:manualLayout>
      </c:layout>
      <c:overlay val="0"/>
    </c:title>
    <c:autoTitleDeleted val="0"/>
    <c:plotArea>
      <c:layout>
        <c:manualLayout>
          <c:layoutTarget val="inner"/>
          <c:xMode val="edge"/>
          <c:yMode val="edge"/>
          <c:x val="0.47777753380381288"/>
          <c:y val="0.13340857209068577"/>
          <c:w val="0.491486313792483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10"/>
                <c:pt idx="1">
                  <c:v>Заделка и герметизация межпанельных соединений</c:v>
                </c:pt>
                <c:pt idx="6">
                  <c:v>Установка узлов управления</c:v>
                </c:pt>
                <c:pt idx="9">
                  <c:v>Ремонт трубопровода СО</c:v>
                </c:pt>
              </c:strCache>
            </c:strRef>
          </c:cat>
          <c:val>
            <c:numRef>
              <c:f>'Экономический расчет'!$E$41:$E$63</c:f>
              <c:numCache>
                <c:formatCode>0%</c:formatCode>
                <c:ptCount val="23"/>
                <c:pt idx="0">
                  <c:v>0</c:v>
                </c:pt>
                <c:pt idx="1">
                  <c:v>0.26566155542671649</c:v>
                </c:pt>
                <c:pt idx="2">
                  <c:v>0</c:v>
                </c:pt>
                <c:pt idx="3">
                  <c:v>0</c:v>
                </c:pt>
                <c:pt idx="4">
                  <c:v>0</c:v>
                </c:pt>
                <c:pt idx="5">
                  <c:v>0</c:v>
                </c:pt>
                <c:pt idx="6">
                  <c:v>0.4851512480404423</c:v>
                </c:pt>
                <c:pt idx="7">
                  <c:v>0</c:v>
                </c:pt>
                <c:pt idx="8">
                  <c:v>0</c:v>
                </c:pt>
                <c:pt idx="9">
                  <c:v>0.24918719653284119</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125151104"/>
        <c:axId val="125152640"/>
      </c:barChart>
      <c:catAx>
        <c:axId val="125151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25152640"/>
        <c:crosses val="autoZero"/>
        <c:auto val="1"/>
        <c:lblAlgn val="ctr"/>
        <c:lblOffset val="100"/>
        <c:noMultiLvlLbl val="0"/>
      </c:catAx>
      <c:valAx>
        <c:axId val="12515264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25151104"/>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90468</c:v>
                </c:pt>
                <c:pt idx="1">
                  <c:v>0.45128399545064551</c:v>
                </c:pt>
                <c:pt idx="2" formatCode="0">
                  <c:v>110000</c:v>
                </c:pt>
                <c:pt idx="3">
                  <c:v>0.54871600454935454</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261387.49332522508</c:v>
                </c:pt>
                <c:pt idx="1">
                  <c:v>229664.55552504057</c:v>
                </c:pt>
                <c:pt idx="2">
                  <c:v>252056.7954423895</c:v>
                </c:pt>
                <c:pt idx="3">
                  <c:v>194866.89559700413</c:v>
                </c:pt>
                <c:pt idx="4">
                  <c:v>194345.77702684494</c:v>
                </c:pt>
                <c:pt idx="5">
                  <c:v>167625.29896762705</c:v>
                </c:pt>
                <c:pt idx="6">
                  <c:v>169056.41750940381</c:v>
                </c:pt>
                <c:pt idx="7">
                  <c:v>63565.863573611299</c:v>
                </c:pt>
                <c:pt idx="8">
                  <c:v>41827.533483961735</c:v>
                </c:pt>
                <c:pt idx="9">
                  <c:v>36433.310302534017</c:v>
                </c:pt>
                <c:pt idx="10">
                  <c:v>0</c:v>
                </c:pt>
                <c:pt idx="11">
                  <c:v>0</c:v>
                </c:pt>
                <c:pt idx="12">
                  <c:v>0</c:v>
                </c:pt>
                <c:pt idx="13">
                  <c:v>0</c:v>
                </c:pt>
                <c:pt idx="14">
                  <c:v>0</c:v>
                </c:pt>
                <c:pt idx="15">
                  <c:v>0</c:v>
                </c:pt>
                <c:pt idx="16">
                  <c:v>636.62157733429297</c:v>
                </c:pt>
                <c:pt idx="17">
                  <c:v>0</c:v>
                </c:pt>
                <c:pt idx="18">
                  <c:v>124280.75452136158</c:v>
                </c:pt>
                <c:pt idx="19">
                  <c:v>122097.5905401582</c:v>
                </c:pt>
                <c:pt idx="20">
                  <c:v>249966.89013625548</c:v>
                </c:pt>
                <c:pt idx="21">
                  <c:v>210902.68358227442</c:v>
                </c:pt>
                <c:pt idx="22">
                  <c:v>249165.37213209417</c:v>
                </c:pt>
                <c:pt idx="23">
                  <c:v>203284.61523673873</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161188.40258180382</c:v>
                </c:pt>
                <c:pt idx="1">
                  <c:v>160927.51270053402</c:v>
                </c:pt>
                <c:pt idx="2">
                  <c:v>155434.49191234278</c:v>
                </c:pt>
                <c:pt idx="3">
                  <c:v>136544.55623075616</c:v>
                </c:pt>
                <c:pt idx="4">
                  <c:v>119846.15235014167</c:v>
                </c:pt>
                <c:pt idx="5">
                  <c:v>117456.18459441575</c:v>
                </c:pt>
                <c:pt idx="6">
                  <c:v>104251.10068536525</c:v>
                </c:pt>
                <c:pt idx="7">
                  <c:v>44541.032002856933</c:v>
                </c:pt>
                <c:pt idx="8">
                  <c:v>25793.557375095948</c:v>
                </c:pt>
                <c:pt idx="9">
                  <c:v>25529.067787712142</c:v>
                </c:pt>
                <c:pt idx="10">
                  <c:v>0</c:v>
                </c:pt>
                <c:pt idx="11">
                  <c:v>0</c:v>
                </c:pt>
                <c:pt idx="12">
                  <c:v>0</c:v>
                </c:pt>
                <c:pt idx="13">
                  <c:v>0</c:v>
                </c:pt>
                <c:pt idx="14">
                  <c:v>0</c:v>
                </c:pt>
                <c:pt idx="15">
                  <c:v>0</c:v>
                </c:pt>
                <c:pt idx="16">
                  <c:v>392.58196248871576</c:v>
                </c:pt>
                <c:pt idx="17">
                  <c:v>0</c:v>
                </c:pt>
                <c:pt idx="18">
                  <c:v>76639.536337855548</c:v>
                </c:pt>
                <c:pt idx="19">
                  <c:v>76639.536337855548</c:v>
                </c:pt>
                <c:pt idx="20">
                  <c:v>154145.72138412227</c:v>
                </c:pt>
                <c:pt idx="21">
                  <c:v>147780.94170069991</c:v>
                </c:pt>
                <c:pt idx="22">
                  <c:v>153651.45363975639</c:v>
                </c:pt>
                <c:pt idx="23">
                  <c:v>142442.90951011196</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48130.247942066642</c:v>
                </c:pt>
                <c:pt idx="1">
                  <c:v>16716.844329311531</c:v>
                </c:pt>
                <c:pt idx="2" formatCode="0">
                  <c:v>46118.069475147022</c:v>
                </c:pt>
                <c:pt idx="3">
                  <c:v>14030.016001224094</c:v>
                </c:pt>
                <c:pt idx="4" formatCode="0">
                  <c:v>34200.11003653676</c:v>
                </c:pt>
                <c:pt idx="5">
                  <c:v>11441.315096134938</c:v>
                </c:pt>
                <c:pt idx="6" formatCode="0">
                  <c:v>26307.672594102794</c:v>
                </c:pt>
                <c:pt idx="7">
                  <c:v>2683.3198607906274</c:v>
                </c:pt>
                <c:pt idx="8" formatCode="0">
                  <c:v>-11491.57405267278</c:v>
                </c:pt>
                <c:pt idx="9">
                  <c:v>-11491.57405267278</c:v>
                </c:pt>
                <c:pt idx="10" formatCode="0">
                  <c:v>0</c:v>
                </c:pt>
                <c:pt idx="11">
                  <c:v>0</c:v>
                </c:pt>
                <c:pt idx="12" formatCode="0">
                  <c:v>0</c:v>
                </c:pt>
                <c:pt idx="13">
                  <c:v>0</c:v>
                </c:pt>
                <c:pt idx="14" formatCode="0">
                  <c:v>0</c:v>
                </c:pt>
                <c:pt idx="15">
                  <c:v>0</c:v>
                </c:pt>
                <c:pt idx="16" formatCode="0">
                  <c:v>133.79646017699105</c:v>
                </c:pt>
                <c:pt idx="17">
                  <c:v>0</c:v>
                </c:pt>
                <c:pt idx="18" formatCode="0">
                  <c:v>19446.14488462752</c:v>
                </c:pt>
                <c:pt idx="19">
                  <c:v>7214.8314258679065</c:v>
                </c:pt>
                <c:pt idx="20" formatCode="0">
                  <c:v>43676.148760376644</c:v>
                </c:pt>
                <c:pt idx="21">
                  <c:v>15212.156346115944</c:v>
                </c:pt>
                <c:pt idx="22" formatCode="0">
                  <c:v>45353.307441898389</c:v>
                </c:pt>
                <c:pt idx="23">
                  <c:v>14473.617155375336</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52343.2194295929</c:v>
                </c:pt>
                <c:pt idx="1">
                  <c:v>52343.2194295929</c:v>
                </c:pt>
                <c:pt idx="2" formatCode="0">
                  <c:v>52736.906776678014</c:v>
                </c:pt>
                <c:pt idx="3">
                  <c:v>50811.13180327868</c:v>
                </c:pt>
                <c:pt idx="4" formatCode="0">
                  <c:v>51114.159865165166</c:v>
                </c:pt>
                <c:pt idx="5">
                  <c:v>51114.159865165166</c:v>
                </c:pt>
                <c:pt idx="6" formatCode="0">
                  <c:v>70940.80593243966</c:v>
                </c:pt>
                <c:pt idx="7">
                  <c:v>54440.498360655729</c:v>
                </c:pt>
                <c:pt idx="8" formatCode="0">
                  <c:v>156017.81434115607</c:v>
                </c:pt>
                <c:pt idx="9">
                  <c:v>36293.665573770486</c:v>
                </c:pt>
                <c:pt idx="10" formatCode="0">
                  <c:v>0</c:v>
                </c:pt>
                <c:pt idx="11">
                  <c:v>0</c:v>
                </c:pt>
                <c:pt idx="12" formatCode="0">
                  <c:v>0</c:v>
                </c:pt>
                <c:pt idx="13">
                  <c:v>0</c:v>
                </c:pt>
                <c:pt idx="14" formatCode="0">
                  <c:v>0</c:v>
                </c:pt>
                <c:pt idx="15">
                  <c:v>0</c:v>
                </c:pt>
                <c:pt idx="16" formatCode="0">
                  <c:v>0</c:v>
                </c:pt>
                <c:pt idx="17">
                  <c:v>0</c:v>
                </c:pt>
                <c:pt idx="18" formatCode="0">
                  <c:v>51334.560977466819</c:v>
                </c:pt>
                <c:pt idx="19">
                  <c:v>51334.560977466819</c:v>
                </c:pt>
                <c:pt idx="20" formatCode="0">
                  <c:v>68142.236440557142</c:v>
                </c:pt>
                <c:pt idx="21">
                  <c:v>54440.498360655729</c:v>
                </c:pt>
                <c:pt idx="22" formatCode="0">
                  <c:v>53945.230064939584</c:v>
                </c:pt>
                <c:pt idx="23">
                  <c:v>53945.230064939584</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97862784"/>
        <c:axId val="97864320"/>
      </c:barChart>
      <c:catAx>
        <c:axId val="978627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864320"/>
        <c:crosses val="autoZero"/>
        <c:auto val="1"/>
        <c:lblAlgn val="ctr"/>
        <c:lblOffset val="100"/>
        <c:noMultiLvlLbl val="0"/>
      </c:catAx>
      <c:valAx>
        <c:axId val="9786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862784"/>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88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410539</c:v>
                </c:pt>
                <c:pt idx="1">
                  <c:v>347141.76870579045</c:v>
                </c:pt>
                <c:pt idx="2">
                  <c:v>404724</c:v>
                </c:pt>
                <c:pt idx="3">
                  <c:v>294630.33602570579</c:v>
                </c:pt>
                <c:pt idx="4">
                  <c:v>286995.83600000001</c:v>
                </c:pt>
                <c:pt idx="5">
                  <c:v>235126.59524465445</c:v>
                </c:pt>
                <c:pt idx="6">
                  <c:v>261675</c:v>
                </c:pt>
                <c:pt idx="7">
                  <c:v>56349.717076603134</c:v>
                </c:pt>
                <c:pt idx="8">
                  <c:v>139560</c:v>
                </c:pt>
                <c:pt idx="9">
                  <c:v>14177.138463802898</c:v>
                </c:pt>
                <c:pt idx="10">
                  <c:v>0</c:v>
                </c:pt>
                <c:pt idx="11">
                  <c:v>0</c:v>
                </c:pt>
                <c:pt idx="12">
                  <c:v>0</c:v>
                </c:pt>
                <c:pt idx="13">
                  <c:v>0</c:v>
                </c:pt>
                <c:pt idx="14">
                  <c:v>0</c:v>
                </c:pt>
                <c:pt idx="15">
                  <c:v>0</c:v>
                </c:pt>
                <c:pt idx="16">
                  <c:v>1163</c:v>
                </c:pt>
                <c:pt idx="17">
                  <c:v>0</c:v>
                </c:pt>
                <c:pt idx="18">
                  <c:v>162820</c:v>
                </c:pt>
                <c:pt idx="19">
                  <c:v>148405.52256003703</c:v>
                </c:pt>
                <c:pt idx="20">
                  <c:v>407050</c:v>
                </c:pt>
                <c:pt idx="21">
                  <c:v>319455.28326843452</c:v>
                </c:pt>
                <c:pt idx="22">
                  <c:v>389605</c:v>
                </c:pt>
                <c:pt idx="23">
                  <c:v>301636.0086884771</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117463</c:v>
                </c:pt>
                <c:pt idx="1">
                  <c:v>117463</c:v>
                </c:pt>
                <c:pt idx="2">
                  <c:v>115137</c:v>
                </c:pt>
                <c:pt idx="3">
                  <c:v>115137</c:v>
                </c:pt>
                <c:pt idx="4">
                  <c:v>97043.045999999988</c:v>
                </c:pt>
                <c:pt idx="5">
                  <c:v>97043.045999999988</c:v>
                </c:pt>
                <c:pt idx="6">
                  <c:v>93040</c:v>
                </c:pt>
                <c:pt idx="7">
                  <c:v>93040</c:v>
                </c:pt>
                <c:pt idx="8">
                  <c:v>93040</c:v>
                </c:pt>
                <c:pt idx="9">
                  <c:v>93040</c:v>
                </c:pt>
                <c:pt idx="10">
                  <c:v>93040</c:v>
                </c:pt>
                <c:pt idx="11">
                  <c:v>93040</c:v>
                </c:pt>
                <c:pt idx="12">
                  <c:v>93040</c:v>
                </c:pt>
                <c:pt idx="13">
                  <c:v>93040</c:v>
                </c:pt>
                <c:pt idx="14">
                  <c:v>93040</c:v>
                </c:pt>
                <c:pt idx="15">
                  <c:v>93040</c:v>
                </c:pt>
                <c:pt idx="16">
                  <c:v>93040</c:v>
                </c:pt>
                <c:pt idx="17">
                  <c:v>93040</c:v>
                </c:pt>
                <c:pt idx="18">
                  <c:v>93040</c:v>
                </c:pt>
                <c:pt idx="19">
                  <c:v>93040</c:v>
                </c:pt>
                <c:pt idx="20">
                  <c:v>118626</c:v>
                </c:pt>
                <c:pt idx="21">
                  <c:v>118626</c:v>
                </c:pt>
                <c:pt idx="22">
                  <c:v>111648</c:v>
                </c:pt>
                <c:pt idx="23">
                  <c:v>111648</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15111</c:v>
                </c:pt>
                <c:pt idx="1">
                  <c:v>9286.0454723482289</c:v>
                </c:pt>
                <c:pt idx="2">
                  <c:v>3109</c:v>
                </c:pt>
                <c:pt idx="3">
                  <c:v>9247.1798677523566</c:v>
                </c:pt>
                <c:pt idx="4">
                  <c:v>15474</c:v>
                </c:pt>
                <c:pt idx="5">
                  <c:v>9203.139003827333</c:v>
                </c:pt>
                <c:pt idx="6">
                  <c:v>11588</c:v>
                </c:pt>
                <c:pt idx="7">
                  <c:v>9070.8197905981906</c:v>
                </c:pt>
                <c:pt idx="8">
                  <c:v>10440.999999999998</c:v>
                </c:pt>
                <c:pt idx="9">
                  <c:v>9039.6063446589214</c:v>
                </c:pt>
                <c:pt idx="10">
                  <c:v>8125</c:v>
                </c:pt>
                <c:pt idx="11">
                  <c:v>9029.113333333331</c:v>
                </c:pt>
                <c:pt idx="12">
                  <c:v>7904</c:v>
                </c:pt>
                <c:pt idx="13">
                  <c:v>9029.113333333331</c:v>
                </c:pt>
                <c:pt idx="14">
                  <c:v>8455</c:v>
                </c:pt>
                <c:pt idx="15">
                  <c:v>9029.113333333331</c:v>
                </c:pt>
                <c:pt idx="16">
                  <c:v>8233.9999999999982</c:v>
                </c:pt>
                <c:pt idx="17">
                  <c:v>9029.113333333331</c:v>
                </c:pt>
                <c:pt idx="18">
                  <c:v>8128</c:v>
                </c:pt>
                <c:pt idx="19">
                  <c:v>9138.9536112553178</c:v>
                </c:pt>
                <c:pt idx="20">
                  <c:v>6600</c:v>
                </c:pt>
                <c:pt idx="21">
                  <c:v>9265.5537062558178</c:v>
                </c:pt>
                <c:pt idx="22">
                  <c:v>5180.3600000000006</c:v>
                </c:pt>
                <c:pt idx="23">
                  <c:v>9252.3650186755513</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97900416"/>
        <c:axId val="97901952"/>
      </c:barChart>
      <c:catAx>
        <c:axId val="97900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901952"/>
        <c:crosses val="autoZero"/>
        <c:auto val="1"/>
        <c:lblAlgn val="ctr"/>
        <c:lblOffset val="100"/>
        <c:noMultiLvlLbl val="0"/>
      </c:catAx>
      <c:valAx>
        <c:axId val="97901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900416"/>
        <c:crosses val="autoZero"/>
        <c:crossBetween val="between"/>
      </c:valAx>
      <c:spPr>
        <a:noFill/>
        <a:ln>
          <a:noFill/>
        </a:ln>
        <a:effectLst/>
      </c:spPr>
    </c:plotArea>
    <c:legend>
      <c:legendPos val="r"/>
      <c:layout>
        <c:manualLayout>
          <c:xMode val="edge"/>
          <c:yMode val="edge"/>
          <c:x val="0.38660986921816037"/>
          <c:y val="0.12138574192349318"/>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117463</c:v>
                </c:pt>
                <c:pt idx="1">
                  <c:v>117463</c:v>
                </c:pt>
                <c:pt idx="2">
                  <c:v>115137</c:v>
                </c:pt>
                <c:pt idx="3">
                  <c:v>115137</c:v>
                </c:pt>
                <c:pt idx="4">
                  <c:v>97043.045999999988</c:v>
                </c:pt>
                <c:pt idx="5">
                  <c:v>97043.045999999988</c:v>
                </c:pt>
                <c:pt idx="6">
                  <c:v>93040</c:v>
                </c:pt>
                <c:pt idx="7">
                  <c:v>93040</c:v>
                </c:pt>
                <c:pt idx="8">
                  <c:v>93040</c:v>
                </c:pt>
                <c:pt idx="9">
                  <c:v>93040</c:v>
                </c:pt>
                <c:pt idx="10">
                  <c:v>93040</c:v>
                </c:pt>
                <c:pt idx="11">
                  <c:v>93040</c:v>
                </c:pt>
                <c:pt idx="12">
                  <c:v>93040</c:v>
                </c:pt>
                <c:pt idx="13">
                  <c:v>93040</c:v>
                </c:pt>
                <c:pt idx="14">
                  <c:v>93040</c:v>
                </c:pt>
                <c:pt idx="15">
                  <c:v>93040</c:v>
                </c:pt>
                <c:pt idx="16">
                  <c:v>93040</c:v>
                </c:pt>
                <c:pt idx="17">
                  <c:v>93040</c:v>
                </c:pt>
                <c:pt idx="18">
                  <c:v>93040</c:v>
                </c:pt>
                <c:pt idx="19">
                  <c:v>93040</c:v>
                </c:pt>
                <c:pt idx="20">
                  <c:v>118626</c:v>
                </c:pt>
                <c:pt idx="21">
                  <c:v>118626</c:v>
                </c:pt>
                <c:pt idx="22">
                  <c:v>111648</c:v>
                </c:pt>
                <c:pt idx="23">
                  <c:v>111648</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101203328"/>
        <c:axId val="101233792"/>
      </c:barChart>
      <c:catAx>
        <c:axId val="1012033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1233792"/>
        <c:crosses val="autoZero"/>
        <c:auto val="1"/>
        <c:lblAlgn val="ctr"/>
        <c:lblOffset val="100"/>
        <c:noMultiLvlLbl val="0"/>
      </c:catAx>
      <c:valAx>
        <c:axId val="10123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120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1022</c:v>
                </c:pt>
                <c:pt idx="1">
                  <c:v>1025</c:v>
                </c:pt>
                <c:pt idx="2" formatCode="General">
                  <c:v>1025</c:v>
                </c:pt>
                <c:pt idx="3">
                  <c:v>863</c:v>
                </c:pt>
                <c:pt idx="4" formatCode="General">
                  <c:v>863</c:v>
                </c:pt>
                <c:pt idx="5">
                  <c:v>1040</c:v>
                </c:pt>
                <c:pt idx="6" formatCode="General">
                  <c:v>1040</c:v>
                </c:pt>
                <c:pt idx="7">
                  <c:v>897</c:v>
                </c:pt>
                <c:pt idx="8" formatCode="General">
                  <c:v>897</c:v>
                </c:pt>
                <c:pt idx="9">
                  <c:v>850</c:v>
                </c:pt>
                <c:pt idx="10" formatCode="General">
                  <c:v>850</c:v>
                </c:pt>
                <c:pt idx="11">
                  <c:v>850</c:v>
                </c:pt>
                <c:pt idx="12" formatCode="General">
                  <c:v>850</c:v>
                </c:pt>
                <c:pt idx="13">
                  <c:v>850</c:v>
                </c:pt>
                <c:pt idx="14" formatCode="General">
                  <c:v>850</c:v>
                </c:pt>
                <c:pt idx="15">
                  <c:v>850</c:v>
                </c:pt>
                <c:pt idx="16" formatCode="General">
                  <c:v>850</c:v>
                </c:pt>
                <c:pt idx="17">
                  <c:v>900</c:v>
                </c:pt>
                <c:pt idx="18" formatCode="General">
                  <c:v>900</c:v>
                </c:pt>
                <c:pt idx="19">
                  <c:v>986</c:v>
                </c:pt>
                <c:pt idx="20" formatCode="General">
                  <c:v>986</c:v>
                </c:pt>
                <c:pt idx="21">
                  <c:v>968</c:v>
                </c:pt>
                <c:pt idx="22" formatCode="General">
                  <c:v>968</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101250560"/>
        <c:axId val="101252096"/>
      </c:barChart>
      <c:catAx>
        <c:axId val="101250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1252096"/>
        <c:crosses val="autoZero"/>
        <c:auto val="1"/>
        <c:lblAlgn val="ctr"/>
        <c:lblOffset val="100"/>
        <c:noMultiLvlLbl val="0"/>
      </c:catAx>
      <c:valAx>
        <c:axId val="10125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125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3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1798188.4196152538</c:v>
                </c:pt>
                <c:pt idx="1">
                  <c:v>109680.26408200094</c:v>
                </c:pt>
                <c:pt idx="2">
                  <c:v>1211197.0460000001</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2464131.8360000001</c:v>
                </c:pt>
                <c:pt idx="1">
                  <c:v>108349.35999999997</c:v>
                </c:pt>
                <c:pt idx="2">
                  <c:v>1211197.0460000001</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1242390.8480518628</c:v>
                </c:pt>
                <c:pt idx="1">
                  <c:v>871214.55617187603</c:v>
                </c:pt>
                <c:pt idx="2">
                  <c:v>85628.019981678808</c:v>
                </c:pt>
                <c:pt idx="3" formatCode="0.0">
                  <c:v>401045.00459016394</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6819.3524552547042</c:v>
                </c:pt>
                <c:pt idx="1">
                  <c:v>4074.6943404433609</c:v>
                </c:pt>
                <c:pt idx="2">
                  <c:v>1403.0419418560568</c:v>
                </c:pt>
                <c:pt idx="3">
                  <c:v>4074.6943404433609</c:v>
                </c:pt>
                <c:pt idx="4">
                  <c:v>6983.1685456032892</c:v>
                </c:pt>
                <c:pt idx="5">
                  <c:v>4074.6943404433609</c:v>
                </c:pt>
                <c:pt idx="6">
                  <c:v>5229.4789392820803</c:v>
                </c:pt>
                <c:pt idx="7">
                  <c:v>4074.6943404433609</c:v>
                </c:pt>
                <c:pt idx="8">
                  <c:v>4711.8561965001891</c:v>
                </c:pt>
                <c:pt idx="9">
                  <c:v>4074.6943404433609</c:v>
                </c:pt>
                <c:pt idx="10">
                  <c:v>3666.6824630364945</c:v>
                </c:pt>
                <c:pt idx="11">
                  <c:v>4074.6943404433609</c:v>
                </c:pt>
                <c:pt idx="12">
                  <c:v>3566.9487000419017</c:v>
                </c:pt>
                <c:pt idx="13">
                  <c:v>4074.6943404433609</c:v>
                </c:pt>
                <c:pt idx="14">
                  <c:v>3815.6061815352077</c:v>
                </c:pt>
                <c:pt idx="15">
                  <c:v>4074.6943404433609</c:v>
                </c:pt>
                <c:pt idx="16">
                  <c:v>3715.8724185406145</c:v>
                </c:pt>
                <c:pt idx="17">
                  <c:v>4074.6943404433609</c:v>
                </c:pt>
                <c:pt idx="18">
                  <c:v>3668.0363150228468</c:v>
                </c:pt>
                <c:pt idx="19">
                  <c:v>4074.6943404433609</c:v>
                </c:pt>
                <c:pt idx="20">
                  <c:v>2978.4743699742603</c:v>
                </c:pt>
                <c:pt idx="21">
                  <c:v>4074.6943404433609</c:v>
                </c:pt>
                <c:pt idx="22">
                  <c:v>2337.8135586727062</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8291.6475447452958</c:v>
                </c:pt>
                <c:pt idx="1">
                  <c:v>4954.4189928899705</c:v>
                </c:pt>
                <c:pt idx="2">
                  <c:v>1705.9580581439432</c:v>
                </c:pt>
                <c:pt idx="3">
                  <c:v>4954.4189928899705</c:v>
                </c:pt>
                <c:pt idx="4">
                  <c:v>8490.8314543967117</c:v>
                </c:pt>
                <c:pt idx="5" formatCode="General">
                  <c:v>4954.4189928899705</c:v>
                </c:pt>
                <c:pt idx="6">
                  <c:v>6358.5210607179197</c:v>
                </c:pt>
                <c:pt idx="7" formatCode="General">
                  <c:v>4954.4189928899705</c:v>
                </c:pt>
                <c:pt idx="8">
                  <c:v>5729.14380349981</c:v>
                </c:pt>
                <c:pt idx="9" formatCode="General">
                  <c:v>4954.4189928899705</c:v>
                </c:pt>
                <c:pt idx="10">
                  <c:v>4458.3175369635046</c:v>
                </c:pt>
                <c:pt idx="11" formatCode="General">
                  <c:v>4954.4189928899705</c:v>
                </c:pt>
                <c:pt idx="12">
                  <c:v>4337.0512999580978</c:v>
                </c:pt>
                <c:pt idx="13" formatCode="General">
                  <c:v>4954.4189928899705</c:v>
                </c:pt>
                <c:pt idx="14">
                  <c:v>4639.3938184647923</c:v>
                </c:pt>
                <c:pt idx="15" formatCode="General">
                  <c:v>4954.4189928899705</c:v>
                </c:pt>
                <c:pt idx="16">
                  <c:v>4518.1275814593846</c:v>
                </c:pt>
                <c:pt idx="17" formatCode="General">
                  <c:v>4954.4189928899705</c:v>
                </c:pt>
                <c:pt idx="18">
                  <c:v>4459.9636849771532</c:v>
                </c:pt>
                <c:pt idx="19" formatCode="General">
                  <c:v>4954.4189928899705</c:v>
                </c:pt>
                <c:pt idx="20">
                  <c:v>3621.5256300257397</c:v>
                </c:pt>
                <c:pt idx="21" formatCode="General">
                  <c:v>4954.4189928899705</c:v>
                </c:pt>
                <c:pt idx="22">
                  <c:v>2842.5464413272944</c:v>
                </c:pt>
                <c:pt idx="23" formatCode="General">
                  <c:v>4954.4189928899705</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256.93213901489798</c:v>
                </c:pt>
                <c:pt idx="2">
                  <c:v>0</c:v>
                </c:pt>
                <c:pt idx="3">
                  <c:v>218.06653441902583</c:v>
                </c:pt>
                <c:pt idx="4">
                  <c:v>0</c:v>
                </c:pt>
                <c:pt idx="5">
                  <c:v>174.02567049400275</c:v>
                </c:pt>
                <c:pt idx="6">
                  <c:v>0</c:v>
                </c:pt>
                <c:pt idx="7">
                  <c:v>41.70645726486002</c:v>
                </c:pt>
                <c:pt idx="8">
                  <c:v>0</c:v>
                </c:pt>
                <c:pt idx="9">
                  <c:v>10.493011325590173</c:v>
                </c:pt>
                <c:pt idx="10">
                  <c:v>0</c:v>
                </c:pt>
                <c:pt idx="11">
                  <c:v>0</c:v>
                </c:pt>
                <c:pt idx="12">
                  <c:v>0</c:v>
                </c:pt>
                <c:pt idx="13">
                  <c:v>0</c:v>
                </c:pt>
                <c:pt idx="14">
                  <c:v>0</c:v>
                </c:pt>
                <c:pt idx="15">
                  <c:v>0</c:v>
                </c:pt>
                <c:pt idx="16">
                  <c:v>0</c:v>
                </c:pt>
                <c:pt idx="17">
                  <c:v>0</c:v>
                </c:pt>
                <c:pt idx="18">
                  <c:v>0</c:v>
                </c:pt>
                <c:pt idx="19">
                  <c:v>109.8402779219866</c:v>
                </c:pt>
                <c:pt idx="20">
                  <c:v>0</c:v>
                </c:pt>
                <c:pt idx="21">
                  <c:v>236.44037292248763</c:v>
                </c:pt>
                <c:pt idx="22">
                  <c:v>0</c:v>
                </c:pt>
                <c:pt idx="23">
                  <c:v>223.25168534221982</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108111744"/>
        <c:axId val="108113280"/>
      </c:barChart>
      <c:catAx>
        <c:axId val="1081117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8113280"/>
        <c:crosses val="autoZero"/>
        <c:auto val="1"/>
        <c:lblAlgn val="ctr"/>
        <c:lblOffset val="100"/>
        <c:noMultiLvlLbl val="0"/>
      </c:catAx>
      <c:valAx>
        <c:axId val="108113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8111744"/>
        <c:crosses val="autoZero"/>
        <c:crossBetween val="between"/>
      </c:valAx>
      <c:spPr>
        <a:noFill/>
        <a:ln>
          <a:noFill/>
        </a:ln>
        <a:effectLst/>
      </c:spPr>
    </c:plotArea>
    <c:legend>
      <c:legendPos val="t"/>
      <c:layout>
        <c:manualLayout>
          <c:xMode val="edge"/>
          <c:yMode val="edge"/>
          <c:x val="0.27250911260948585"/>
          <c:y val="6.5911857167845769E-2"/>
          <c:w val="0.45272279924422304"/>
          <c:h val="0.101290714220557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48896.332085320333</c:v>
                </c:pt>
                <c:pt idx="1">
                  <c:v>0</c:v>
                </c:pt>
                <c:pt idx="2" formatCode="0">
                  <c:v>59453.027914679646</c:v>
                </c:pt>
                <c:pt idx="3">
                  <c:v>0</c:v>
                </c:pt>
                <c:pt idx="4" formatCode="0">
                  <c:v>1330.90408200095</c:v>
                </c:pt>
                <c:pt idx="5">
                  <c:v>0</c:v>
                </c:pt>
                <c:pt idx="6" formatCode="0.0">
                  <c:v>1330.90408200095</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280922.7455915733</c:v>
                </c:pt>
                <c:pt idx="1">
                  <c:v>261387.49332522508</c:v>
                </c:pt>
                <c:pt idx="2">
                  <c:v>277078.07996487984</c:v>
                </c:pt>
                <c:pt idx="3" formatCode="0">
                  <c:v>242852.52658768202</c:v>
                </c:pt>
                <c:pt idx="4">
                  <c:v>252056.7954423895</c:v>
                </c:pt>
                <c:pt idx="5">
                  <c:v>271553.8640737505</c:v>
                </c:pt>
                <c:pt idx="6" formatCode="0">
                  <c:v>213892.92157642578</c:v>
                </c:pt>
                <c:pt idx="7">
                  <c:v>194345.77702684494</c:v>
                </c:pt>
                <c:pt idx="8">
                  <c:v>211514.52955532662</c:v>
                </c:pt>
                <c:pt idx="9" formatCode="0">
                  <c:v>129735.14325512425</c:v>
                </c:pt>
                <c:pt idx="10">
                  <c:v>169056.41750940381</c:v>
                </c:pt>
                <c:pt idx="11">
                  <c:v>264104.50820103043</c:v>
                </c:pt>
                <c:pt idx="12" formatCode="0">
                  <c:v>9730.1357441343171</c:v>
                </c:pt>
                <c:pt idx="13">
                  <c:v>41827.533483961735</c:v>
                </c:pt>
                <c:pt idx="14">
                  <c:v>20778.745737384899</c:v>
                </c:pt>
                <c:pt idx="15" formatCode="0">
                  <c:v>0</c:v>
                </c:pt>
                <c:pt idx="16">
                  <c:v>0</c:v>
                </c:pt>
                <c:pt idx="17">
                  <c:v>0</c:v>
                </c:pt>
                <c:pt idx="18" formatCode="0">
                  <c:v>0</c:v>
                </c:pt>
                <c:pt idx="19">
                  <c:v>0</c:v>
                </c:pt>
                <c:pt idx="20">
                  <c:v>0</c:v>
                </c:pt>
                <c:pt idx="21" formatCode="0">
                  <c:v>0</c:v>
                </c:pt>
                <c:pt idx="22">
                  <c:v>0</c:v>
                </c:pt>
                <c:pt idx="23">
                  <c:v>0</c:v>
                </c:pt>
                <c:pt idx="24" formatCode="0">
                  <c:v>10714.082055338911</c:v>
                </c:pt>
                <c:pt idx="25">
                  <c:v>636.62157733429297</c:v>
                </c:pt>
                <c:pt idx="26">
                  <c:v>0</c:v>
                </c:pt>
                <c:pt idx="27" formatCode="0">
                  <c:v>131800.21576012153</c:v>
                </c:pt>
                <c:pt idx="28">
                  <c:v>124280.75452136158</c:v>
                </c:pt>
                <c:pt idx="29">
                  <c:v>113301.79168054223</c:v>
                </c:pt>
                <c:pt idx="30" formatCode="0">
                  <c:v>199704.65871856204</c:v>
                </c:pt>
                <c:pt idx="31">
                  <c:v>249966.89013625548</c:v>
                </c:pt>
                <c:pt idx="32">
                  <c:v>217097.82325309751</c:v>
                </c:pt>
                <c:pt idx="33" formatCode="0">
                  <c:v>259834.71106995386</c:v>
                </c:pt>
                <c:pt idx="34">
                  <c:v>249165.37213209417</c:v>
                </c:pt>
                <c:pt idx="35">
                  <c:v>273308.50897323369</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173235.10025194575</c:v>
                </c:pt>
                <c:pt idx="1">
                  <c:v>161188.40258180382</c:v>
                </c:pt>
                <c:pt idx="2">
                  <c:v>170864.23122931496</c:v>
                </c:pt>
                <c:pt idx="3" formatCode="0">
                  <c:v>149758.54554341003</c:v>
                </c:pt>
                <c:pt idx="4">
                  <c:v>155434.49191234278</c:v>
                </c:pt>
                <c:pt idx="5">
                  <c:v>167457.64308815915</c:v>
                </c:pt>
                <c:pt idx="6" formatCode="0">
                  <c:v>131900.18356984609</c:v>
                </c:pt>
                <c:pt idx="7">
                  <c:v>119846.15235014167</c:v>
                </c:pt>
                <c:pt idx="8">
                  <c:v>130433.51350955639</c:v>
                </c:pt>
                <c:pt idx="9" formatCode="0">
                  <c:v>80003.064545999325</c:v>
                </c:pt>
                <c:pt idx="10">
                  <c:v>104251.10068536525</c:v>
                </c:pt>
                <c:pt idx="11">
                  <c:v>162863.88935452839</c:v>
                </c:pt>
                <c:pt idx="12" formatCode="0">
                  <c:v>6000.2298409499499</c:v>
                </c:pt>
                <c:pt idx="13">
                  <c:v>25793.557375095948</c:v>
                </c:pt>
                <c:pt idx="14">
                  <c:v>12813.516019663803</c:v>
                </c:pt>
                <c:pt idx="15" formatCode="0">
                  <c:v>0</c:v>
                </c:pt>
                <c:pt idx="16">
                  <c:v>0</c:v>
                </c:pt>
                <c:pt idx="17">
                  <c:v>0</c:v>
                </c:pt>
                <c:pt idx="18" formatCode="0">
                  <c:v>0</c:v>
                </c:pt>
                <c:pt idx="19">
                  <c:v>0</c:v>
                </c:pt>
                <c:pt idx="20">
                  <c:v>0</c:v>
                </c:pt>
                <c:pt idx="21" formatCode="0">
                  <c:v>0</c:v>
                </c:pt>
                <c:pt idx="22">
                  <c:v>0</c:v>
                </c:pt>
                <c:pt idx="23">
                  <c:v>0</c:v>
                </c:pt>
                <c:pt idx="24" formatCode="0">
                  <c:v>6606.9946563269114</c:v>
                </c:pt>
                <c:pt idx="25">
                  <c:v>392.58196248871576</c:v>
                </c:pt>
                <c:pt idx="26">
                  <c:v>0</c:v>
                </c:pt>
                <c:pt idx="27" formatCode="0">
                  <c:v>81276.52156592629</c:v>
                </c:pt>
                <c:pt idx="28">
                  <c:v>76639.536337855548</c:v>
                </c:pt>
                <c:pt idx="29">
                  <c:v>69869.199089490066</c:v>
                </c:pt>
                <c:pt idx="30" formatCode="0">
                  <c:v>123150.78475058325</c:v>
                </c:pt>
                <c:pt idx="31">
                  <c:v>154145.72138412227</c:v>
                </c:pt>
                <c:pt idx="32">
                  <c:v>133876.53284012925</c:v>
                </c:pt>
                <c:pt idx="33" formatCode="0">
                  <c:v>160230.85680139755</c:v>
                </c:pt>
                <c:pt idx="34">
                  <c:v>153651.45363975639</c:v>
                </c:pt>
                <c:pt idx="35">
                  <c:v>168539.67040648271</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51727.346346542683</c:v>
                </c:pt>
                <c:pt idx="1">
                  <c:v>48130.247942066642</c:v>
                </c:pt>
                <c:pt idx="2">
                  <c:v>51019.413814985557</c:v>
                </c:pt>
                <c:pt idx="3">
                  <c:v>44433.992242615706</c:v>
                </c:pt>
                <c:pt idx="4">
                  <c:v>46118.069475147022</c:v>
                </c:pt>
                <c:pt idx="5">
                  <c:v>49685.389150558556</c:v>
                </c:pt>
                <c:pt idx="6">
                  <c:v>37639.930055900557</c:v>
                </c:pt>
                <c:pt idx="7">
                  <c:v>34200.11003653676</c:v>
                </c:pt>
                <c:pt idx="8">
                  <c:v>37221.391150265488</c:v>
                </c:pt>
                <c:pt idx="9">
                  <c:v>20188.702227260801</c:v>
                </c:pt>
                <c:pt idx="10">
                  <c:v>26307.672594102794</c:v>
                </c:pt>
                <c:pt idx="11">
                  <c:v>41098.557716643692</c:v>
                </c:pt>
                <c:pt idx="12" formatCode="General">
                  <c:v>-2673.2289985292064</c:v>
                </c:pt>
                <c:pt idx="13">
                  <c:v>-11491.57405267278</c:v>
                </c:pt>
                <c:pt idx="14">
                  <c:v>-5708.6917509581326</c:v>
                </c:pt>
                <c:pt idx="15" formatCode="General">
                  <c:v>0</c:v>
                </c:pt>
                <c:pt idx="16">
                  <c:v>0</c:v>
                </c:pt>
                <c:pt idx="17">
                  <c:v>0</c:v>
                </c:pt>
                <c:pt idx="18" formatCode="General">
                  <c:v>0</c:v>
                </c:pt>
                <c:pt idx="19">
                  <c:v>0</c:v>
                </c:pt>
                <c:pt idx="20">
                  <c:v>0</c:v>
                </c:pt>
                <c:pt idx="21" formatCode="General">
                  <c:v>0</c:v>
                </c:pt>
                <c:pt idx="22">
                  <c:v>0</c:v>
                </c:pt>
                <c:pt idx="23">
                  <c:v>0</c:v>
                </c:pt>
                <c:pt idx="24" formatCode="General">
                  <c:v>2251.7399725165556</c:v>
                </c:pt>
                <c:pt idx="25">
                  <c:v>133.79646017699105</c:v>
                </c:pt>
                <c:pt idx="26">
                  <c:v>0</c:v>
                </c:pt>
                <c:pt idx="27">
                  <c:v>20622.711065500953</c:v>
                </c:pt>
                <c:pt idx="28">
                  <c:v>19446.14488462752</c:v>
                </c:pt>
                <c:pt idx="29">
                  <c:v>17728.272291177676</c:v>
                </c:pt>
                <c:pt idx="30">
                  <c:v>34893.942864103614</c:v>
                </c:pt>
                <c:pt idx="31">
                  <c:v>43676.148760376644</c:v>
                </c:pt>
                <c:pt idx="32">
                  <c:v>37933.011123143799</c:v>
                </c:pt>
                <c:pt idx="33" formatCode="0.00">
                  <c:v>47295.35021016089</c:v>
                </c:pt>
                <c:pt idx="34">
                  <c:v>45353.307441898389</c:v>
                </c:pt>
                <c:pt idx="35">
                  <c:v>49747.863147606688</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56255.181639344264</c:v>
                </c:pt>
                <c:pt idx="1">
                  <c:v>52343.2194295929</c:v>
                </c:pt>
                <c:pt idx="2">
                  <c:v>55485.281848151732</c:v>
                </c:pt>
                <c:pt idx="3">
                  <c:v>50811.13180327868</c:v>
                </c:pt>
                <c:pt idx="4">
                  <c:v>52736.906776678014</c:v>
                </c:pt>
                <c:pt idx="5">
                  <c:v>56816.206003766645</c:v>
                </c:pt>
                <c:pt idx="6">
                  <c:v>56255.181639344264</c:v>
                </c:pt>
                <c:pt idx="7">
                  <c:v>51114.159865165166</c:v>
                </c:pt>
                <c:pt idx="8">
                  <c:v>55629.649601302066</c:v>
                </c:pt>
                <c:pt idx="9">
                  <c:v>54440.498360655729</c:v>
                </c:pt>
                <c:pt idx="10">
                  <c:v>70940.80593243966</c:v>
                </c:pt>
                <c:pt idx="11">
                  <c:v>110825.64588906858</c:v>
                </c:pt>
                <c:pt idx="12">
                  <c:v>36293.665573770486</c:v>
                </c:pt>
                <c:pt idx="13">
                  <c:v>156017.81434115607</c:v>
                </c:pt>
                <c:pt idx="14">
                  <c:v>77505.275225957448</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54440.498360655729</c:v>
                </c:pt>
                <c:pt idx="28">
                  <c:v>51334.560977466819</c:v>
                </c:pt>
                <c:pt idx="29">
                  <c:v>46799.665453280802</c:v>
                </c:pt>
                <c:pt idx="30" formatCode="0">
                  <c:v>54440.498360655729</c:v>
                </c:pt>
                <c:pt idx="31">
                  <c:v>68142.236440557142</c:v>
                </c:pt>
                <c:pt idx="32">
                  <c:v>59181.962838274259</c:v>
                </c:pt>
                <c:pt idx="33">
                  <c:v>56255.181639344264</c:v>
                </c:pt>
                <c:pt idx="34">
                  <c:v>53945.230064939584</c:v>
                </c:pt>
                <c:pt idx="35">
                  <c:v>59172.309013510836</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86374656"/>
        <c:axId val="86638592"/>
      </c:barChart>
      <c:catAx>
        <c:axId val="863746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6638592"/>
        <c:crosses val="autoZero"/>
        <c:auto val="1"/>
        <c:lblAlgn val="ctr"/>
        <c:lblOffset val="100"/>
        <c:noMultiLvlLbl val="0"/>
      </c:catAx>
      <c:valAx>
        <c:axId val="86638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6374656"/>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109409024"/>
        <c:axId val="109410560"/>
      </c:scatterChart>
      <c:valAx>
        <c:axId val="109409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410560"/>
        <c:crosses val="autoZero"/>
        <c:crossBetween val="midCat"/>
      </c:valAx>
      <c:valAx>
        <c:axId val="1094105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4090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109444096"/>
        <c:axId val="109482752"/>
      </c:scatterChart>
      <c:valAx>
        <c:axId val="109444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482752"/>
        <c:crosses val="autoZero"/>
        <c:crossBetween val="midCat"/>
      </c:valAx>
      <c:valAx>
        <c:axId val="10948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444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64"/>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449630.01055071759</c:v>
                </c:pt>
                <c:pt idx="1">
                  <c:v>410539</c:v>
                </c:pt>
                <c:pt idx="2">
                  <c:v>441936.64357864362</c:v>
                </c:pt>
                <c:pt idx="3">
                  <c:v>386233.93257042917</c:v>
                </c:pt>
                <c:pt idx="4">
                  <c:v>404724</c:v>
                </c:pt>
                <c:pt idx="5">
                  <c:v>443890.83870967757</c:v>
                </c:pt>
                <c:pt idx="6">
                  <c:v>327177.85356282815</c:v>
                </c:pt>
                <c:pt idx="7">
                  <c:v>286995.83600000001</c:v>
                </c:pt>
                <c:pt idx="8">
                  <c:v>322288.72053776198</c:v>
                </c:pt>
                <c:pt idx="9">
                  <c:v>175486.41166772862</c:v>
                </c:pt>
                <c:pt idx="10">
                  <c:v>261675</c:v>
                </c:pt>
                <c:pt idx="11">
                  <c:v>470011.60443995963</c:v>
                </c:pt>
                <c:pt idx="12">
                  <c:v>-23236.528987215424</c:v>
                </c:pt>
                <c:pt idx="13">
                  <c:v>139560</c:v>
                </c:pt>
                <c:pt idx="14">
                  <c:v>32801.514084507049</c:v>
                </c:pt>
                <c:pt idx="15">
                  <c:v>0</c:v>
                </c:pt>
                <c:pt idx="16">
                  <c:v>0</c:v>
                </c:pt>
                <c:pt idx="17">
                  <c:v>0</c:v>
                </c:pt>
                <c:pt idx="18">
                  <c:v>0</c:v>
                </c:pt>
                <c:pt idx="19">
                  <c:v>0</c:v>
                </c:pt>
                <c:pt idx="20">
                  <c:v>0</c:v>
                </c:pt>
                <c:pt idx="21">
                  <c:v>0</c:v>
                </c:pt>
                <c:pt idx="22">
                  <c:v>0</c:v>
                </c:pt>
                <c:pt idx="23">
                  <c:v>0</c:v>
                </c:pt>
                <c:pt idx="24">
                  <c:v>19572.81668418238</c:v>
                </c:pt>
                <c:pt idx="25">
                  <c:v>1163</c:v>
                </c:pt>
                <c:pt idx="26">
                  <c:v>0</c:v>
                </c:pt>
                <c:pt idx="27">
                  <c:v>179258.95003089303</c:v>
                </c:pt>
                <c:pt idx="28">
                  <c:v>162820</c:v>
                </c:pt>
                <c:pt idx="29">
                  <c:v>138817.9317931793</c:v>
                </c:pt>
                <c:pt idx="30">
                  <c:v>303308.88797259313</c:v>
                </c:pt>
                <c:pt idx="31">
                  <c:v>407050</c:v>
                </c:pt>
                <c:pt idx="32">
                  <c:v>339208.33333333331</c:v>
                </c:pt>
                <c:pt idx="33">
                  <c:v>411105.73644216801</c:v>
                </c:pt>
                <c:pt idx="34">
                  <c:v>389605</c:v>
                </c:pt>
                <c:pt idx="35">
                  <c:v>438257.98826214537</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88446.559726331368</c:v>
                </c:pt>
                <c:pt idx="1">
                  <c:v>117463</c:v>
                </c:pt>
                <c:pt idx="2">
                  <c:v>117463</c:v>
                </c:pt>
                <c:pt idx="3">
                  <c:v>79887.215236686388</c:v>
                </c:pt>
                <c:pt idx="4">
                  <c:v>115137</c:v>
                </c:pt>
                <c:pt idx="5">
                  <c:v>115137</c:v>
                </c:pt>
                <c:pt idx="6">
                  <c:v>88446.559726331368</c:v>
                </c:pt>
                <c:pt idx="7">
                  <c:v>97043.045999999988</c:v>
                </c:pt>
                <c:pt idx="8">
                  <c:v>97043.045999999988</c:v>
                </c:pt>
                <c:pt idx="9">
                  <c:v>85593.444896449699</c:v>
                </c:pt>
                <c:pt idx="10">
                  <c:v>93040</c:v>
                </c:pt>
                <c:pt idx="11">
                  <c:v>93040</c:v>
                </c:pt>
                <c:pt idx="12">
                  <c:v>65128.830343934904</c:v>
                </c:pt>
                <c:pt idx="13">
                  <c:v>93040</c:v>
                </c:pt>
                <c:pt idx="14">
                  <c:v>93040</c:v>
                </c:pt>
                <c:pt idx="15">
                  <c:v>63027.900332840225</c:v>
                </c:pt>
                <c:pt idx="16">
                  <c:v>93040</c:v>
                </c:pt>
                <c:pt idx="17">
                  <c:v>93040</c:v>
                </c:pt>
                <c:pt idx="18">
                  <c:v>35715.810188609466</c:v>
                </c:pt>
                <c:pt idx="19">
                  <c:v>93040</c:v>
                </c:pt>
                <c:pt idx="20">
                  <c:v>93040</c:v>
                </c:pt>
                <c:pt idx="21">
                  <c:v>65128.830343934904</c:v>
                </c:pt>
                <c:pt idx="22">
                  <c:v>93040</c:v>
                </c:pt>
                <c:pt idx="23">
                  <c:v>93040</c:v>
                </c:pt>
                <c:pt idx="24">
                  <c:v>77034.100406804733</c:v>
                </c:pt>
                <c:pt idx="25">
                  <c:v>93040</c:v>
                </c:pt>
                <c:pt idx="26">
                  <c:v>93040</c:v>
                </c:pt>
                <c:pt idx="27">
                  <c:v>88446.559726331368</c:v>
                </c:pt>
                <c:pt idx="28">
                  <c:v>93040</c:v>
                </c:pt>
                <c:pt idx="29">
                  <c:v>93040</c:v>
                </c:pt>
                <c:pt idx="30">
                  <c:v>85593.444896449699</c:v>
                </c:pt>
                <c:pt idx="31">
                  <c:v>118626</c:v>
                </c:pt>
                <c:pt idx="32">
                  <c:v>118626</c:v>
                </c:pt>
                <c:pt idx="33">
                  <c:v>88446.559726331368</c:v>
                </c:pt>
                <c:pt idx="34">
                  <c:v>111648</c:v>
                </c:pt>
                <c:pt idx="35">
                  <c:v>111648</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16705.666666666664</c:v>
                </c:pt>
                <c:pt idx="1">
                  <c:v>15111</c:v>
                </c:pt>
                <c:pt idx="2">
                  <c:v>15111</c:v>
                </c:pt>
                <c:pt idx="3" formatCode="0">
                  <c:v>16705.666666666664</c:v>
                </c:pt>
                <c:pt idx="4">
                  <c:v>3109</c:v>
                </c:pt>
                <c:pt idx="5">
                  <c:v>3109</c:v>
                </c:pt>
                <c:pt idx="6" formatCode="0">
                  <c:v>16705.666666666664</c:v>
                </c:pt>
                <c:pt idx="7">
                  <c:v>15474</c:v>
                </c:pt>
                <c:pt idx="8">
                  <c:v>15474</c:v>
                </c:pt>
                <c:pt idx="9" formatCode="0">
                  <c:v>16705.666666666664</c:v>
                </c:pt>
                <c:pt idx="10">
                  <c:v>11588</c:v>
                </c:pt>
                <c:pt idx="11">
                  <c:v>11588</c:v>
                </c:pt>
                <c:pt idx="12" formatCode="0">
                  <c:v>16705.666666666664</c:v>
                </c:pt>
                <c:pt idx="13">
                  <c:v>10440.999999999998</c:v>
                </c:pt>
                <c:pt idx="14">
                  <c:v>10440.999999999998</c:v>
                </c:pt>
                <c:pt idx="15" formatCode="0">
                  <c:v>16705.666666666664</c:v>
                </c:pt>
                <c:pt idx="16">
                  <c:v>8125</c:v>
                </c:pt>
                <c:pt idx="17">
                  <c:v>8125</c:v>
                </c:pt>
                <c:pt idx="18" formatCode="0">
                  <c:v>16705.666666666664</c:v>
                </c:pt>
                <c:pt idx="19">
                  <c:v>7904</c:v>
                </c:pt>
                <c:pt idx="20">
                  <c:v>7904</c:v>
                </c:pt>
                <c:pt idx="21" formatCode="0">
                  <c:v>16705.666666666664</c:v>
                </c:pt>
                <c:pt idx="22">
                  <c:v>8455</c:v>
                </c:pt>
                <c:pt idx="23">
                  <c:v>8455</c:v>
                </c:pt>
                <c:pt idx="24" formatCode="0">
                  <c:v>16705.666666666664</c:v>
                </c:pt>
                <c:pt idx="25">
                  <c:v>8233.9999999999982</c:v>
                </c:pt>
                <c:pt idx="26">
                  <c:v>8233.9999999999982</c:v>
                </c:pt>
                <c:pt idx="27" formatCode="0">
                  <c:v>16705.666666666664</c:v>
                </c:pt>
                <c:pt idx="28">
                  <c:v>8128</c:v>
                </c:pt>
                <c:pt idx="29">
                  <c:v>8128</c:v>
                </c:pt>
                <c:pt idx="30" formatCode="0">
                  <c:v>16705.666666666664</c:v>
                </c:pt>
                <c:pt idx="31">
                  <c:v>6600</c:v>
                </c:pt>
                <c:pt idx="32">
                  <c:v>6600</c:v>
                </c:pt>
                <c:pt idx="33" formatCode="0">
                  <c:v>16705.666666666664</c:v>
                </c:pt>
                <c:pt idx="34">
                  <c:v>5180.3600000000006</c:v>
                </c:pt>
                <c:pt idx="35">
                  <c:v>5180.3600000000006</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86658048"/>
        <c:axId val="86659840"/>
      </c:barChart>
      <c:catAx>
        <c:axId val="86658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6659840"/>
        <c:crosses val="autoZero"/>
        <c:auto val="1"/>
        <c:lblAlgn val="ctr"/>
        <c:lblOffset val="100"/>
        <c:noMultiLvlLbl val="0"/>
      </c:catAx>
      <c:valAx>
        <c:axId val="8665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6658048"/>
        <c:crosses val="autoZero"/>
        <c:crossBetween val="between"/>
      </c:valAx>
      <c:spPr>
        <a:noFill/>
        <a:ln>
          <a:noFill/>
        </a:ln>
        <a:effectLst/>
      </c:spPr>
    </c:plotArea>
    <c:legend>
      <c:legendPos val="r"/>
      <c:layout>
        <c:manualLayout>
          <c:xMode val="edge"/>
          <c:yMode val="edge"/>
          <c:x val="0.38721041388386862"/>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88446.559726331368</c:v>
                </c:pt>
                <c:pt idx="1">
                  <c:v>117463</c:v>
                </c:pt>
                <c:pt idx="2">
                  <c:v>79887.215236686388</c:v>
                </c:pt>
                <c:pt idx="3">
                  <c:v>115137</c:v>
                </c:pt>
                <c:pt idx="4">
                  <c:v>88446.559726331368</c:v>
                </c:pt>
                <c:pt idx="5">
                  <c:v>97043.045999999988</c:v>
                </c:pt>
                <c:pt idx="6">
                  <c:v>85593.444896449699</c:v>
                </c:pt>
                <c:pt idx="7">
                  <c:v>93040</c:v>
                </c:pt>
                <c:pt idx="8">
                  <c:v>65128.830343934904</c:v>
                </c:pt>
                <c:pt idx="9">
                  <c:v>93040</c:v>
                </c:pt>
                <c:pt idx="10">
                  <c:v>63027.900332840225</c:v>
                </c:pt>
                <c:pt idx="11">
                  <c:v>93040</c:v>
                </c:pt>
                <c:pt idx="12">
                  <c:v>35715.810188609466</c:v>
                </c:pt>
                <c:pt idx="13">
                  <c:v>93040</c:v>
                </c:pt>
                <c:pt idx="14">
                  <c:v>65128.830343934904</c:v>
                </c:pt>
                <c:pt idx="15">
                  <c:v>93040</c:v>
                </c:pt>
                <c:pt idx="16">
                  <c:v>77034.100406804733</c:v>
                </c:pt>
                <c:pt idx="17">
                  <c:v>93040</c:v>
                </c:pt>
                <c:pt idx="18">
                  <c:v>88446.559726331368</c:v>
                </c:pt>
                <c:pt idx="19">
                  <c:v>93040</c:v>
                </c:pt>
                <c:pt idx="20">
                  <c:v>85593.444896449699</c:v>
                </c:pt>
                <c:pt idx="21">
                  <c:v>118626</c:v>
                </c:pt>
                <c:pt idx="22">
                  <c:v>88446.559726331368</c:v>
                </c:pt>
                <c:pt idx="23">
                  <c:v>111648</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86672896"/>
        <c:axId val="86674432"/>
      </c:barChart>
      <c:catAx>
        <c:axId val="866728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6674432"/>
        <c:crosses val="autoZero"/>
        <c:auto val="1"/>
        <c:lblAlgn val="ctr"/>
        <c:lblOffset val="100"/>
        <c:noMultiLvlLbl val="0"/>
      </c:catAx>
      <c:valAx>
        <c:axId val="86674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6672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1102.7103550295856</c:v>
                </c:pt>
                <c:pt idx="1">
                  <c:v>1022</c:v>
                </c:pt>
                <c:pt idx="2">
                  <c:v>995.99644970414192</c:v>
                </c:pt>
                <c:pt idx="3">
                  <c:v>1025</c:v>
                </c:pt>
                <c:pt idx="4">
                  <c:v>1102.7103550295856</c:v>
                </c:pt>
                <c:pt idx="5">
                  <c:v>863</c:v>
                </c:pt>
                <c:pt idx="6">
                  <c:v>1067.1390532544376</c:v>
                </c:pt>
                <c:pt idx="7">
                  <c:v>1040</c:v>
                </c:pt>
                <c:pt idx="8">
                  <c:v>992.43931952662706</c:v>
                </c:pt>
                <c:pt idx="9">
                  <c:v>897</c:v>
                </c:pt>
                <c:pt idx="10">
                  <c:v>960.42514792899397</c:v>
                </c:pt>
                <c:pt idx="11">
                  <c:v>850</c:v>
                </c:pt>
                <c:pt idx="12">
                  <c:v>544.24091715976328</c:v>
                </c:pt>
                <c:pt idx="13">
                  <c:v>850</c:v>
                </c:pt>
                <c:pt idx="14">
                  <c:v>992.43931952662706</c:v>
                </c:pt>
                <c:pt idx="15">
                  <c:v>850</c:v>
                </c:pt>
                <c:pt idx="16">
                  <c:v>960.42514792899397</c:v>
                </c:pt>
                <c:pt idx="17">
                  <c:v>850</c:v>
                </c:pt>
                <c:pt idx="18">
                  <c:v>1102.7103550295856</c:v>
                </c:pt>
                <c:pt idx="19">
                  <c:v>900</c:v>
                </c:pt>
                <c:pt idx="20">
                  <c:v>1067.1390532544376</c:v>
                </c:pt>
                <c:pt idx="21">
                  <c:v>986</c:v>
                </c:pt>
                <c:pt idx="22">
                  <c:v>1102.7103550295856</c:v>
                </c:pt>
                <c:pt idx="23">
                  <c:v>968</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86740992"/>
        <c:axId val="86742528"/>
      </c:barChart>
      <c:catAx>
        <c:axId val="86740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6742528"/>
        <c:crosses val="autoZero"/>
        <c:auto val="1"/>
        <c:lblAlgn val="ctr"/>
        <c:lblOffset val="100"/>
        <c:noMultiLvlLbl val="0"/>
      </c:catAx>
      <c:valAx>
        <c:axId val="86742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6740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2303035.6729410281</c:v>
                </c:pt>
                <c:pt idx="1">
                  <c:v>923216.08413461549</c:v>
                </c:pt>
                <c:pt idx="2">
                  <c:v>200468</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481"/>
          <c:w val="0.43867187958983844"/>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2464131.8360000001</c:v>
                </c:pt>
                <c:pt idx="1">
                  <c:v>1211197.0460000001</c:v>
                </c:pt>
                <c:pt idx="2">
                  <c:v>108349.35999999997</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79"/>
          <c:w val="0.42866141421171766"/>
          <c:h val="0.466104729387596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1508741.9721510245</c:v>
                </c:pt>
                <c:pt idx="1">
                  <c:v>930387.69875863381</c:v>
                </c:pt>
                <c:pt idx="2">
                  <c:v>264951.006621534</c:v>
                </c:pt>
                <c:pt idx="3" formatCode="0.0">
                  <c:v>401045.00459016394</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111"/>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7539</c:v>
                </c:pt>
                <c:pt idx="1">
                  <c:v>6819.3524552547042</c:v>
                </c:pt>
                <c:pt idx="2" formatCode="0">
                  <c:v>7539</c:v>
                </c:pt>
                <c:pt idx="3">
                  <c:v>1403.0419418560568</c:v>
                </c:pt>
                <c:pt idx="4" formatCode="0">
                  <c:v>7539</c:v>
                </c:pt>
                <c:pt idx="5">
                  <c:v>6983.1685456032892</c:v>
                </c:pt>
                <c:pt idx="6" formatCode="0">
                  <c:v>7539</c:v>
                </c:pt>
                <c:pt idx="7">
                  <c:v>5229.4789392820803</c:v>
                </c:pt>
                <c:pt idx="8" formatCode="0">
                  <c:v>7539</c:v>
                </c:pt>
                <c:pt idx="9">
                  <c:v>4711.8561965001891</c:v>
                </c:pt>
                <c:pt idx="10" formatCode="0">
                  <c:v>7539</c:v>
                </c:pt>
                <c:pt idx="11">
                  <c:v>3666.6824630364945</c:v>
                </c:pt>
                <c:pt idx="12" formatCode="0">
                  <c:v>7539</c:v>
                </c:pt>
                <c:pt idx="13">
                  <c:v>3566.9487000419017</c:v>
                </c:pt>
                <c:pt idx="14" formatCode="0">
                  <c:v>7539</c:v>
                </c:pt>
                <c:pt idx="15">
                  <c:v>3815.6061815352077</c:v>
                </c:pt>
                <c:pt idx="16" formatCode="0">
                  <c:v>7539</c:v>
                </c:pt>
                <c:pt idx="17">
                  <c:v>3715.8724185406145</c:v>
                </c:pt>
                <c:pt idx="18" formatCode="0">
                  <c:v>7539</c:v>
                </c:pt>
                <c:pt idx="19">
                  <c:v>3668.0363150228468</c:v>
                </c:pt>
                <c:pt idx="20" formatCode="0">
                  <c:v>7539</c:v>
                </c:pt>
                <c:pt idx="21">
                  <c:v>2978.4743699742603</c:v>
                </c:pt>
                <c:pt idx="22" formatCode="0">
                  <c:v>7539</c:v>
                </c:pt>
                <c:pt idx="23">
                  <c:v>2337.8135586727062</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9166.6666666666661</c:v>
                </c:pt>
                <c:pt idx="1">
                  <c:v>8291.6475447452958</c:v>
                </c:pt>
                <c:pt idx="2">
                  <c:v>9166.6666666666661</c:v>
                </c:pt>
                <c:pt idx="3">
                  <c:v>1705.9580581439432</c:v>
                </c:pt>
                <c:pt idx="4">
                  <c:v>9166.6666666666661</c:v>
                </c:pt>
                <c:pt idx="5">
                  <c:v>8490.8314543967117</c:v>
                </c:pt>
                <c:pt idx="6">
                  <c:v>9166.6666666666661</c:v>
                </c:pt>
                <c:pt idx="7">
                  <c:v>6358.5210607179197</c:v>
                </c:pt>
                <c:pt idx="8">
                  <c:v>9166.6666666666661</c:v>
                </c:pt>
                <c:pt idx="9">
                  <c:v>5729.14380349981</c:v>
                </c:pt>
                <c:pt idx="10">
                  <c:v>9166.6666666666661</c:v>
                </c:pt>
                <c:pt idx="11">
                  <c:v>4458.3175369635046</c:v>
                </c:pt>
                <c:pt idx="12">
                  <c:v>9166.6666666666661</c:v>
                </c:pt>
                <c:pt idx="13">
                  <c:v>4337.0512999580978</c:v>
                </c:pt>
                <c:pt idx="14">
                  <c:v>9166.6666666666661</c:v>
                </c:pt>
                <c:pt idx="15">
                  <c:v>4639.3938184647923</c:v>
                </c:pt>
                <c:pt idx="16">
                  <c:v>9166.6666666666661</c:v>
                </c:pt>
                <c:pt idx="17">
                  <c:v>4518.1275814593846</c:v>
                </c:pt>
                <c:pt idx="18">
                  <c:v>9166.6666666666661</c:v>
                </c:pt>
                <c:pt idx="19">
                  <c:v>4459.9636849771532</c:v>
                </c:pt>
                <c:pt idx="20">
                  <c:v>9166.6666666666661</c:v>
                </c:pt>
                <c:pt idx="21">
                  <c:v>3621.5256300257397</c:v>
                </c:pt>
                <c:pt idx="22">
                  <c:v>9166.6666666666661</c:v>
                </c:pt>
                <c:pt idx="23">
                  <c:v>2842.5464413272944</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90141056"/>
        <c:axId val="90142592"/>
      </c:barChart>
      <c:catAx>
        <c:axId val="90141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0142592"/>
        <c:crosses val="autoZero"/>
        <c:auto val="1"/>
        <c:lblAlgn val="ctr"/>
        <c:lblOffset val="100"/>
        <c:noMultiLvlLbl val="0"/>
      </c:catAx>
      <c:valAx>
        <c:axId val="90142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0141056"/>
        <c:crosses val="autoZero"/>
        <c:crossBetween val="between"/>
      </c:valAx>
      <c:spPr>
        <a:noFill/>
        <a:ln>
          <a:noFill/>
        </a:ln>
        <a:effectLst/>
      </c:spPr>
    </c:plotArea>
    <c:legend>
      <c:legendPos val="t"/>
      <c:layout>
        <c:manualLayout>
          <c:xMode val="edge"/>
          <c:yMode val="edge"/>
          <c:x val="0.27250911260948585"/>
          <c:y val="6.5911857167845769E-2"/>
          <c:w val="0.45272279924422304"/>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CheckBox" checked="Checked"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checked="Checked"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checked="Checked"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87</xdr:row>
          <xdr:rowOff>190500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38</xdr:row>
      <xdr:rowOff>161924</xdr:rowOff>
    </xdr:from>
    <xdr:to>
      <xdr:col>6</xdr:col>
      <xdr:colOff>38100</xdr:colOff>
      <xdr:row>67</xdr:row>
      <xdr:rowOff>123824</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A2" sqref="A2"/>
    </sheetView>
  </sheetViews>
  <sheetFormatPr defaultColWidth="9.140625"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19" t="s">
        <v>1654</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29" t="s">
        <v>1875</v>
      </c>
      <c r="D3" s="1529"/>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0" t="s">
        <v>1877</v>
      </c>
      <c r="D5" s="1530"/>
      <c r="E5" s="31"/>
      <c r="F5" s="31"/>
      <c r="G5" s="31"/>
      <c r="H5" s="31"/>
      <c r="I5" s="31"/>
      <c r="J5" s="31"/>
      <c r="K5" s="31"/>
      <c r="L5" s="31"/>
      <c r="M5" s="31"/>
      <c r="N5" s="31"/>
      <c r="O5" s="31"/>
      <c r="P5" s="31"/>
      <c r="Q5" s="31"/>
      <c r="R5" s="31"/>
      <c r="S5" s="31"/>
      <c r="T5" s="31"/>
      <c r="U5" s="31"/>
      <c r="V5" s="31"/>
      <c r="W5" s="31"/>
      <c r="X5" s="31"/>
    </row>
    <row r="6" spans="1:24" ht="26.25" x14ac:dyDescent="0.4">
      <c r="A6" s="31"/>
      <c r="B6" s="33"/>
      <c r="C6" s="1531" t="s">
        <v>1879</v>
      </c>
      <c r="D6" s="1531"/>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28" t="s">
        <v>1655</v>
      </c>
      <c r="D7" s="1528"/>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28" t="s">
        <v>1657</v>
      </c>
      <c r="D9" s="1528"/>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1876</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28" t="s">
        <v>1658</v>
      </c>
      <c r="D11" s="1528"/>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28" t="s">
        <v>1660</v>
      </c>
      <c r="D13" s="1528"/>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1878</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1946</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x14ac:dyDescent="0.25"/>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07" t="s">
        <v>463</v>
      </c>
      <c r="C2" s="1008" t="str">
        <f>VLOOKUP(CONCATENATE('Ввод исходных данных'!$D$10,'Ввод исходных данных'!$D$11),Климатология!$D$9:$BF$548,$J$7,0)</f>
        <v>6000-7000</v>
      </c>
      <c r="D2" s="1009"/>
      <c r="E2" s="75">
        <f>VLOOKUP(CONCATENATE('Ввод исходных данных'!$D$10,'Ввод исходных данных'!$D$11),Климатология!$D$9:$BF$548,E7,0)</f>
        <v>221</v>
      </c>
      <c r="F2" s="75">
        <f>VLOOKUP(CONCATENATE('Ввод исходных данных'!$D$10,'Ввод исходных данных'!$D$11),Климатология!$D$9:$BF$548,F7,0)</f>
        <v>-8.1</v>
      </c>
      <c r="G2" s="75">
        <f>VLOOKUP(CONCATENATE('Ввод исходных данных'!$D$10,'Ввод исходных данных'!$D$11),Климатология!$D$9:$BF$548,G7,0)</f>
        <v>-37</v>
      </c>
      <c r="H2" s="75">
        <f>VLOOKUP(CONCATENATE('Ввод исходных данных'!$D$10,'Ввод исходных данных'!$D$11),Климатология!$D$9:$BF$548,H7,0)</f>
        <v>4.7</v>
      </c>
      <c r="I2" s="75">
        <f>VLOOKUP(CONCATENATE('Ввод исходных данных'!$D$10,'Ввод исходных данных'!$D$11),Климатология!$D$9:$BF$548,I7,0)</f>
        <v>6210.1</v>
      </c>
      <c r="J2" s="75" t="str">
        <f>VLOOKUP(CONCATENATE('Ввод исходных данных'!$D$10,'Ввод исходных данных'!$D$11),Климатология!$D$9:$BF$548,J7,0)</f>
        <v>6000-7000</v>
      </c>
      <c r="K2" s="75">
        <f>VLOOKUP(CONCATENATE('Ввод исходных данных'!$D$10,'Ввод исходных данных'!$D$11),Климатология!$D$9:$BF$548,K7,0)</f>
        <v>19.399999999999999</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16.2</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10.199999999999999</v>
      </c>
      <c r="U2" s="75">
        <f>VLOOKUP(CONCATENATE('Ввод исходных данных'!$D$10,'Ввод исходных данных'!$D$11),Климатология!$D$9:$BF$548,U7,0)</f>
        <v>4.5</v>
      </c>
      <c r="V2" s="75">
        <f>VLOOKUP(CONCATENATE('Ввод исходных данных'!$D$10,'Ввод исходных данных'!$D$11),Климатология!$D$9:$BF$548,V7,0)</f>
        <v>44.1</v>
      </c>
      <c r="W2" s="75">
        <f>VLOOKUP(CONCATENATE('Ввод исходных данных'!$D$10,'Ввод исходных данных'!$D$11),Климатология!$D$9:$BF$548,W7,0)</f>
        <v>2.5</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542.5</v>
      </c>
      <c r="AA2" s="75">
        <f>VLOOKUP(CONCATENATE('Ввод исходных данных'!$D$10,'Ввод исходных данных'!$D$11),Климатология!$D$9:$BF$548,AA7,0)</f>
        <v>-7.4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822</v>
      </c>
      <c r="AE2" s="75">
        <f>VLOOKUP(CONCATENATE('Ввод исходных данных'!$D$10,'Ввод исходных данных'!$D$11),Климатология!$D$9:$BF$548,AE7,0)</f>
        <v>-14.5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1069.5</v>
      </c>
      <c r="AI2" s="75">
        <f>VLOOKUP(CONCATENATE('Ввод исходных данных'!$D$10,'Ввод исходных данных'!$D$11),Климатология!$D$9:$BF$548,AI7,0)</f>
        <v>-17.3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1156.3</v>
      </c>
      <c r="AM2" s="75">
        <f>VLOOKUP(CONCATENATE('Ввод исходных данных'!$D$10,'Ввод исходных данных'!$D$11),Климатология!$D$9:$BF$548,AM7,0)</f>
        <v>-15.7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999.60000000000014</v>
      </c>
      <c r="AQ2" s="75">
        <f>VLOOKUP(CONCATENATE('Ввод исходных данных'!$D$10,'Ввод исходных данных'!$D$11),Климатология!$D$9:$BF$548,AQ7,0)</f>
        <v>-8.4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880.4</v>
      </c>
      <c r="AU2" s="75">
        <f>VLOOKUP(CONCATENATE('Ввод исходных данных'!$D$10,'Ввод исходных данных'!$D$11),Климатология!$D$9:$BF$548,AU7,0)</f>
        <v>2.2000000000000002</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534</v>
      </c>
      <c r="AY2" s="75">
        <f>VLOOKUP(CONCATENATE('Ввод исходных данных'!$D$10,'Ввод исходных данных'!$D$11),Климатология!$D$9:$BF$548,AY7,0)</f>
        <v>11.1</v>
      </c>
      <c r="BA2" s="75">
        <f>VLOOKUP(CONCATENATE('Ввод исходных данных'!$D$10,'Ввод исходных данных'!$D$11),Климатология!$D$9:$BF$548,BA7,0)</f>
        <v>4.5</v>
      </c>
      <c r="BB2" s="75">
        <f>VLOOKUP(CONCATENATE('Ввод исходных данных'!$D$10,'Ввод исходных данных'!$D$11),Климатология!$D$9:$BF$548,BB7,0)</f>
        <v>40.050000000000004</v>
      </c>
      <c r="BC2" s="75">
        <f>VLOOKUP(CONCATENATE('Ввод исходных данных'!$D$10,'Ввод исходных данных'!$D$11),Климатология!$D$9:$BF$548,BC7,0)</f>
        <v>17</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Новосибирская областьНовосибирск</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28" t="s">
        <v>720</v>
      </c>
      <c r="L6" s="1828"/>
      <c r="M6" s="1828"/>
      <c r="N6" s="1828"/>
      <c r="O6" s="1829" t="s">
        <v>721</v>
      </c>
      <c r="P6" s="1829"/>
      <c r="Q6" s="1829"/>
      <c r="R6" s="1829"/>
      <c r="S6" s="1830" t="s">
        <v>722</v>
      </c>
      <c r="T6" s="1830"/>
      <c r="U6" s="1830"/>
      <c r="V6" s="1830"/>
      <c r="W6" s="1834" t="s">
        <v>482</v>
      </c>
      <c r="X6" s="1834"/>
      <c r="Y6" s="1834"/>
      <c r="Z6" s="1834"/>
      <c r="AA6" s="1835" t="s">
        <v>486</v>
      </c>
      <c r="AB6" s="1835"/>
      <c r="AC6" s="1835"/>
      <c r="AD6" s="1835"/>
      <c r="AE6" s="1836" t="s">
        <v>487</v>
      </c>
      <c r="AF6" s="1836"/>
      <c r="AG6" s="1836"/>
      <c r="AH6" s="1836"/>
      <c r="AI6" s="1837" t="s">
        <v>488</v>
      </c>
      <c r="AJ6" s="1837"/>
      <c r="AK6" s="1837"/>
      <c r="AL6" s="1837"/>
      <c r="AM6" s="1838" t="s">
        <v>489</v>
      </c>
      <c r="AN6" s="1838"/>
      <c r="AO6" s="1838"/>
      <c r="AP6" s="1838"/>
      <c r="AQ6" s="1830" t="s">
        <v>490</v>
      </c>
      <c r="AR6" s="1830"/>
      <c r="AS6" s="1830"/>
      <c r="AT6" s="1830"/>
      <c r="AU6" s="1833" t="s">
        <v>491</v>
      </c>
      <c r="AV6" s="1833"/>
      <c r="AW6" s="1833"/>
      <c r="AX6" s="1833"/>
      <c r="AY6" s="1831" t="s">
        <v>724</v>
      </c>
      <c r="AZ6" s="1831"/>
      <c r="BA6" s="1831"/>
      <c r="BB6" s="1831"/>
      <c r="BC6" s="1832" t="s">
        <v>725</v>
      </c>
      <c r="BD6" s="1832"/>
      <c r="BE6" s="1832"/>
      <c r="BF6" s="1832"/>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25">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25">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25">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25">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25">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25">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25">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25">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25">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25">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25">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25">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25">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25">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25">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25">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25">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25">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25">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25">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25">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25">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25">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25">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25">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25">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25">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25">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25">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25">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25">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25">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25">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25">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25">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25">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25">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25">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25">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25">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25">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25">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25">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25">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25">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25">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25">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25">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25">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25">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25">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25">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25">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25">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25">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25">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25">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25">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25">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25">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25">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25">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25">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25">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25">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25">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25">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25">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25">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25">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25">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25">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25">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25">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25">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25">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25">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25">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25">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25">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25">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25">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25">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25">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25">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25">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25">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25">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25">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25">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25">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25">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25">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25">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25">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25">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25">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25">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25">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25">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25">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25">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25">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25">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25">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25">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25">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25">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25">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25">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25">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25">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25">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25">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25">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25">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25">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25">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25">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25">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25">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25">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25">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25">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25">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25">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25">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25">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25">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25">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25">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25">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25">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25">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25">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25">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25">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25">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25">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25">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25">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25">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25">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25">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25">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25">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25">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25">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25">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25">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25">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25">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25">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25">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25">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25">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25">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25">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25">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25">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25">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25">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25">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25">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25">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25">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25">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25">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25">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25">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25">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25">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25">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25">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25">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25">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25">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25">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25">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25">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25">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25">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25">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25">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25">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25">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25">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25">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25">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25">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25">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25">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25">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25">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25">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25">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25">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25">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25">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25">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25">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25">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25">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25">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25">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25">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25">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25">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25">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25">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25">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25">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25">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25">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25">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25">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25">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25">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25">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25">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25">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25">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25">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25">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25">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25">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25">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25">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25">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25">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25">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25">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25">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25">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25">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25">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25">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25">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25">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25">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25">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25">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25">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25">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25">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25">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25">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25">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25">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25">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25">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25">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25">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25">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25">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25">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25">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25">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25">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25">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25">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25">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25">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25">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25">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25">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25">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25">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25">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25">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25">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25">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25">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25">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25">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25">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25">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25">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25">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25">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25">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25">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25">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25">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25">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25">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25">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25">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25">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25">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25">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25">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25">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25">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25">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25">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25">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25">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25">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25">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25">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25">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25">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25">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25">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25">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25">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25">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25">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25">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25">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25">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25">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25">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25">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25">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25">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25">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25">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25">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25">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25">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25">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25">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25">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25">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25">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25">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25">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25">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25">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25">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25">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25">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25">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25">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25">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25">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25">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25">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25">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25">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25">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25">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25">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25">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25">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25">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25">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25">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25">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25">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25">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25">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25">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25">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25">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25">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25">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25">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25">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25">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25">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25">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25">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25">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25">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25">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25">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25">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25">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25">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25">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25">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25">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25">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25">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25">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25">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25">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25">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25">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25">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25">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25">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25">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25">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25">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25">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25">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25">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25">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25">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25">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25">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25">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25">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25">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25">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25">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25">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25">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25">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25">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25">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25">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25">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25">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25">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25">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25">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25">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25">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25">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25">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25">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25">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25">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25">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25">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25">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25">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25">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25">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25">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25">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25">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25">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25">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25">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25">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25">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25">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25">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25">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25">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25">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25">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25">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25">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25">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25">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25">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25">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25">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25">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25">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25">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25">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25">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25">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25">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25">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25">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25">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25">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25">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25">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25">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25">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25">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25">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25">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25">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25">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25">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25">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25">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25">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25">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25">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25">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25">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25">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25">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25">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25">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25">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25">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25">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25">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25">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25">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25">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25">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25">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25">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25">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25">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25">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25">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25">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25">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25">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25">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25">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25">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25">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25">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25">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25">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25">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25">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25">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25">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25">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25">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25">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25">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25">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25">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25">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25">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25">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25">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25">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25">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25">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25">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25">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25">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25">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25">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25">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25">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25">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25">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25">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25">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25">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25">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25">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25">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25">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25">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25">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25">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25">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25">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25">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25">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25">
      <c r="C549" s="1090"/>
      <c r="D549" s="1090"/>
      <c r="E549" s="1090"/>
      <c r="F549" s="1090"/>
      <c r="G549" s="1090"/>
      <c r="H549" s="1090"/>
    </row>
    <row r="551" spans="2:58" ht="15.75" customHeight="1" x14ac:dyDescent="0.25">
      <c r="D551" s="1023"/>
    </row>
    <row r="596" spans="2:2" ht="15.75" customHeight="1" x14ac:dyDescent="0.25">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40625"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1" t="s">
        <v>1240</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2"/>
      <c r="B2" s="95" t="s">
        <v>1538</v>
      </c>
      <c r="C2" s="1093">
        <f>'Ввод исходных данных'!$D$83-'Расчет базового уровня'!$D$145</f>
        <v>57</v>
      </c>
      <c r="D2" s="74"/>
      <c r="E2" s="74"/>
      <c r="F2" s="74"/>
      <c r="G2" s="74"/>
      <c r="H2" s="74"/>
      <c r="I2" s="74"/>
      <c r="J2" s="74"/>
      <c r="K2" s="74"/>
      <c r="L2" s="74"/>
      <c r="M2" s="74"/>
      <c r="N2" s="74"/>
      <c r="O2" s="74"/>
      <c r="P2" s="74"/>
      <c r="Q2" s="74"/>
      <c r="R2" s="74"/>
      <c r="S2" s="74"/>
      <c r="T2" s="74"/>
      <c r="U2" s="74"/>
      <c r="V2" s="74"/>
    </row>
    <row r="3" spans="1:59" ht="37.5" customHeight="1" x14ac:dyDescent="0.25">
      <c r="A3" s="1848" t="s">
        <v>757</v>
      </c>
      <c r="B3" s="1850" t="s">
        <v>1380</v>
      </c>
      <c r="C3" s="1852" t="s">
        <v>1370</v>
      </c>
      <c r="D3" s="1853"/>
      <c r="E3" s="1853"/>
      <c r="F3" s="1853"/>
      <c r="G3" s="1853"/>
      <c r="H3" s="1854"/>
      <c r="I3" s="1855" t="s">
        <v>1371</v>
      </c>
      <c r="J3" s="1855"/>
      <c r="K3" s="1856"/>
      <c r="L3" s="74"/>
      <c r="M3" s="74"/>
      <c r="N3" s="74"/>
      <c r="O3" s="74"/>
      <c r="P3" s="74"/>
      <c r="Q3" s="74"/>
      <c r="R3" s="74"/>
      <c r="S3" s="74"/>
      <c r="T3" s="74"/>
      <c r="U3" s="74"/>
      <c r="V3" s="74"/>
    </row>
    <row r="4" spans="1:59" ht="45.95" customHeight="1" x14ac:dyDescent="0.25">
      <c r="A4" s="1849"/>
      <c r="B4" s="1851"/>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25">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1.0919540229885059</v>
      </c>
      <c r="K5" s="1104">
        <f>MAX(I5:J5)</f>
        <v>1.0919540229885059</v>
      </c>
      <c r="L5" s="74"/>
      <c r="M5" s="74"/>
      <c r="N5" s="74"/>
      <c r="O5" s="74"/>
      <c r="P5" s="74"/>
      <c r="Q5" s="74"/>
      <c r="R5" s="74"/>
      <c r="S5" s="74"/>
      <c r="T5" s="74"/>
      <c r="U5" s="74"/>
      <c r="V5" s="74"/>
      <c r="W5" s="1105"/>
    </row>
    <row r="6" spans="1:59" s="1106" customFormat="1" ht="17.100000000000001" customHeight="1" x14ac:dyDescent="0.25">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1.0919540229885059</v>
      </c>
      <c r="K6" s="1104">
        <f t="shared" ref="K6:K33" si="1">MAX(I6:J6)</f>
        <v>1.0919540229885059</v>
      </c>
      <c r="L6" s="74"/>
      <c r="M6" s="74"/>
      <c r="N6" s="74"/>
      <c r="O6" s="74"/>
      <c r="P6" s="74"/>
      <c r="Q6" s="74"/>
      <c r="R6" s="74"/>
      <c r="S6" s="74"/>
      <c r="T6" s="74"/>
      <c r="U6" s="74"/>
      <c r="V6" s="74"/>
      <c r="W6" s="1105"/>
    </row>
    <row r="7" spans="1:59" s="1106" customFormat="1" ht="17.100000000000001" customHeight="1" x14ac:dyDescent="0.25">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1.0919540229885059</v>
      </c>
      <c r="K7" s="1104">
        <f t="shared" si="1"/>
        <v>1.0919540229885059</v>
      </c>
      <c r="L7" s="74"/>
      <c r="M7" s="74"/>
      <c r="N7" s="74"/>
      <c r="O7" s="74"/>
      <c r="P7" s="74"/>
      <c r="Q7" s="74"/>
      <c r="R7" s="74"/>
      <c r="S7" s="74"/>
      <c r="T7" s="74"/>
      <c r="U7" s="74"/>
      <c r="V7" s="74"/>
      <c r="W7" s="1105"/>
    </row>
    <row r="8" spans="1:59" s="1106" customFormat="1" ht="17.100000000000001" customHeight="1" x14ac:dyDescent="0.25">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1.0919540229885059</v>
      </c>
      <c r="K8" s="1104">
        <f t="shared" si="1"/>
        <v>1.0919540229885059</v>
      </c>
      <c r="L8" s="74"/>
      <c r="M8" s="74"/>
      <c r="N8" s="74"/>
      <c r="O8" s="74"/>
      <c r="P8" s="74"/>
      <c r="Q8" s="74"/>
      <c r="R8" s="74"/>
      <c r="S8" s="74"/>
      <c r="T8" s="74"/>
      <c r="U8" s="74"/>
      <c r="V8" s="74"/>
      <c r="W8" s="1105"/>
    </row>
    <row r="9" spans="1:59" s="1106" customFormat="1" ht="17.100000000000001" customHeight="1" x14ac:dyDescent="0.25">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1.0919540229885059</v>
      </c>
      <c r="K9" s="1104">
        <f t="shared" si="1"/>
        <v>1.0919540229885059</v>
      </c>
      <c r="L9" s="74"/>
      <c r="M9" s="74"/>
      <c r="N9" s="74"/>
      <c r="O9" s="74"/>
      <c r="P9" s="74"/>
      <c r="Q9" s="74"/>
      <c r="R9" s="74"/>
      <c r="S9" s="74"/>
      <c r="T9" s="74"/>
      <c r="U9" s="74"/>
      <c r="V9" s="74"/>
      <c r="W9" s="1105"/>
    </row>
    <row r="10" spans="1:59" s="1106" customFormat="1" ht="17.100000000000001" customHeight="1" x14ac:dyDescent="0.25">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1.0919540229885059</v>
      </c>
      <c r="K10" s="1104">
        <f t="shared" si="1"/>
        <v>1.0919540229885059</v>
      </c>
      <c r="L10" s="74"/>
      <c r="M10" s="74"/>
      <c r="N10" s="74"/>
      <c r="O10" s="74"/>
      <c r="P10" s="74"/>
      <c r="Q10" s="74"/>
      <c r="R10" s="74"/>
      <c r="S10" s="74"/>
      <c r="T10" s="74"/>
      <c r="U10" s="74"/>
      <c r="V10" s="74"/>
      <c r="W10" s="1105"/>
    </row>
    <row r="11" spans="1:59" s="1106" customFormat="1" ht="17.100000000000001" customHeight="1" x14ac:dyDescent="0.25">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1.0919540229885059</v>
      </c>
      <c r="K11" s="1104">
        <f t="shared" si="1"/>
        <v>1.0919540229885059</v>
      </c>
      <c r="L11" s="74"/>
      <c r="M11" s="74"/>
      <c r="N11" s="74"/>
      <c r="O11" s="74"/>
      <c r="P11" s="74"/>
      <c r="Q11" s="74"/>
      <c r="R11" s="74"/>
      <c r="S11" s="74"/>
      <c r="T11" s="74"/>
      <c r="U11" s="74"/>
      <c r="V11" s="74"/>
      <c r="W11" s="1105"/>
    </row>
    <row r="12" spans="1:59" s="1106" customFormat="1" ht="17.100000000000001" customHeight="1" x14ac:dyDescent="0.25">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1.0919540229885059</v>
      </c>
      <c r="K12" s="1104">
        <f t="shared" si="1"/>
        <v>1.0919540229885059</v>
      </c>
      <c r="L12" s="74"/>
      <c r="M12" s="74"/>
      <c r="N12" s="74"/>
      <c r="O12" s="74"/>
      <c r="P12" s="74"/>
      <c r="Q12" s="74"/>
      <c r="R12" s="74"/>
      <c r="S12" s="74"/>
      <c r="T12" s="74"/>
      <c r="U12" s="74"/>
      <c r="V12" s="74"/>
      <c r="W12" s="1105"/>
    </row>
    <row r="13" spans="1:59" s="1106" customFormat="1" ht="17.100000000000001" customHeight="1" x14ac:dyDescent="0.25">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1.0919540229885059</v>
      </c>
      <c r="K13" s="1104">
        <f t="shared" si="1"/>
        <v>1.0919540229885059</v>
      </c>
      <c r="L13" s="74"/>
      <c r="M13" s="74"/>
      <c r="N13" s="74"/>
      <c r="O13" s="74"/>
      <c r="P13" s="74"/>
      <c r="Q13" s="74"/>
      <c r="R13" s="74"/>
      <c r="S13" s="74"/>
      <c r="T13" s="74"/>
      <c r="U13" s="74"/>
      <c r="V13" s="74"/>
      <c r="W13" s="1105"/>
    </row>
    <row r="14" spans="1:59" s="1106" customFormat="1" ht="17.100000000000001" customHeight="1" x14ac:dyDescent="0.25">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1.0919540229885059</v>
      </c>
      <c r="K14" s="1104">
        <f t="shared" si="1"/>
        <v>1.0919540229885059</v>
      </c>
      <c r="L14" s="74"/>
      <c r="M14" s="74"/>
      <c r="N14" s="74"/>
      <c r="O14" s="74"/>
      <c r="P14" s="74"/>
      <c r="Q14" s="74"/>
      <c r="R14" s="74"/>
      <c r="S14" s="74"/>
      <c r="T14" s="74"/>
      <c r="U14" s="74"/>
      <c r="V14" s="74"/>
      <c r="W14" s="1105"/>
    </row>
    <row r="15" spans="1:59" s="1106" customFormat="1" ht="17.100000000000001" customHeight="1" x14ac:dyDescent="0.25">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1.0919540229885059</v>
      </c>
      <c r="K15" s="1104">
        <f t="shared" ref="K15" si="3">MAX(I15:J15)</f>
        <v>1.0919540229885059</v>
      </c>
      <c r="L15" s="74"/>
      <c r="M15" s="74"/>
      <c r="N15" s="74"/>
      <c r="O15" s="74"/>
      <c r="P15" s="74"/>
      <c r="Q15" s="74"/>
      <c r="R15" s="74"/>
      <c r="S15" s="74"/>
      <c r="T15" s="74"/>
      <c r="U15" s="74"/>
      <c r="V15" s="74"/>
      <c r="W15" s="1105"/>
    </row>
    <row r="16" spans="1:59" s="1106" customFormat="1" ht="17.100000000000001" customHeight="1" x14ac:dyDescent="0.25">
      <c r="A16" s="977" t="s">
        <v>1943</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1.0919540229885059</v>
      </c>
      <c r="K16" s="1104">
        <f t="shared" si="1"/>
        <v>1.0919540229885059</v>
      </c>
      <c r="L16" s="74"/>
      <c r="M16" s="74"/>
      <c r="N16" s="74"/>
      <c r="O16" s="74"/>
      <c r="P16" s="74"/>
      <c r="Q16" s="74"/>
      <c r="R16" s="74"/>
      <c r="S16" s="74"/>
      <c r="T16" s="74"/>
      <c r="U16" s="74"/>
      <c r="V16" s="74"/>
      <c r="W16" s="1105"/>
    </row>
    <row r="17" spans="1:23" s="1106" customFormat="1" ht="17.100000000000001" customHeight="1" x14ac:dyDescent="0.25">
      <c r="A17" s="977" t="s">
        <v>1944</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1.0919540229885059</v>
      </c>
      <c r="K17" s="1104">
        <f t="shared" si="1"/>
        <v>1.0919540229885059</v>
      </c>
      <c r="L17" s="74"/>
      <c r="M17" s="74"/>
      <c r="N17" s="74"/>
      <c r="O17" s="74"/>
      <c r="P17" s="74"/>
      <c r="Q17" s="74"/>
      <c r="R17" s="74"/>
      <c r="S17" s="74"/>
      <c r="T17" s="74"/>
      <c r="U17" s="74"/>
      <c r="V17" s="74"/>
      <c r="W17" s="1105"/>
    </row>
    <row r="18" spans="1:23" s="1106" customFormat="1" ht="17.100000000000001" customHeight="1" x14ac:dyDescent="0.25">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1.0919540229885059</v>
      </c>
      <c r="K18" s="1104">
        <f t="shared" ref="K18" si="5">MAX(I18:J18)</f>
        <v>1.0919540229885059</v>
      </c>
      <c r="L18" s="74"/>
      <c r="M18" s="74"/>
      <c r="N18" s="74"/>
      <c r="O18" s="74"/>
      <c r="P18" s="74"/>
      <c r="Q18" s="74"/>
      <c r="R18" s="74"/>
      <c r="S18" s="74"/>
      <c r="T18" s="74"/>
      <c r="U18" s="74"/>
      <c r="V18" s="74"/>
      <c r="W18" s="1105"/>
    </row>
    <row r="19" spans="1:23" s="1106" customFormat="1" ht="17.100000000000001" customHeight="1" x14ac:dyDescent="0.25">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1.0919540229885059</v>
      </c>
      <c r="K19" s="1104">
        <f t="shared" si="1"/>
        <v>1.0919540229885059</v>
      </c>
      <c r="L19" s="74"/>
      <c r="M19" s="74"/>
      <c r="N19" s="74"/>
      <c r="O19" s="74"/>
      <c r="P19" s="74"/>
      <c r="Q19" s="74"/>
      <c r="R19" s="74"/>
      <c r="S19" s="74"/>
      <c r="T19" s="74"/>
      <c r="U19" s="74"/>
      <c r="V19" s="74"/>
      <c r="W19" s="1105"/>
    </row>
    <row r="20" spans="1:23" s="1106" customFormat="1" ht="17.100000000000001" customHeight="1" x14ac:dyDescent="0.25">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1.0919540229885059</v>
      </c>
      <c r="K20" s="1104">
        <f t="shared" si="1"/>
        <v>1.0919540229885059</v>
      </c>
      <c r="L20" s="74"/>
      <c r="M20" s="74"/>
      <c r="N20" s="74"/>
      <c r="O20" s="74"/>
      <c r="P20" s="74"/>
      <c r="Q20" s="74"/>
      <c r="R20" s="74"/>
      <c r="S20" s="74"/>
      <c r="T20" s="74"/>
      <c r="U20" s="74"/>
      <c r="V20" s="74"/>
      <c r="W20" s="1105"/>
    </row>
    <row r="21" spans="1:23" s="1106" customFormat="1" ht="17.100000000000001" customHeight="1" x14ac:dyDescent="0.25">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1.0919540229885059</v>
      </c>
      <c r="K21" s="1104">
        <f t="shared" si="1"/>
        <v>1.0919540229885059</v>
      </c>
      <c r="L21" s="74"/>
      <c r="M21" s="74"/>
      <c r="N21" s="74"/>
      <c r="O21" s="74"/>
      <c r="P21" s="74"/>
      <c r="Q21" s="74"/>
      <c r="R21" s="74"/>
      <c r="S21" s="74"/>
      <c r="T21" s="74"/>
      <c r="U21" s="74"/>
      <c r="V21" s="74"/>
      <c r="W21" s="1105"/>
    </row>
    <row r="22" spans="1:23" s="1106" customFormat="1" ht="17.100000000000001" customHeight="1" x14ac:dyDescent="0.25">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1.0919540229885059</v>
      </c>
      <c r="K22" s="1104">
        <f t="shared" ref="K22" si="6">MAX(I22:J22)</f>
        <v>1.0919540229885059</v>
      </c>
      <c r="L22" s="74"/>
      <c r="M22" s="74"/>
      <c r="N22" s="74"/>
      <c r="O22" s="74"/>
      <c r="P22" s="74"/>
      <c r="Q22" s="74"/>
      <c r="R22" s="74"/>
      <c r="S22" s="74"/>
      <c r="T22" s="74"/>
      <c r="U22" s="74"/>
      <c r="V22" s="74"/>
      <c r="W22" s="1105"/>
    </row>
    <row r="23" spans="1:23" s="1106" customFormat="1" ht="17.100000000000001" customHeight="1" x14ac:dyDescent="0.25">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1.0919540229885059</v>
      </c>
      <c r="K23" s="1104">
        <f t="shared" si="1"/>
        <v>1.0919540229885059</v>
      </c>
      <c r="L23" s="74"/>
      <c r="M23" s="74"/>
      <c r="N23" s="74"/>
      <c r="O23" s="74"/>
      <c r="P23" s="74"/>
      <c r="Q23" s="74"/>
      <c r="R23" s="74"/>
      <c r="S23" s="74"/>
      <c r="T23" s="74"/>
      <c r="U23" s="74"/>
      <c r="V23" s="74"/>
      <c r="W23" s="1105"/>
    </row>
    <row r="24" spans="1:23" s="1106" customFormat="1" ht="17.100000000000001" customHeight="1" x14ac:dyDescent="0.25">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1.0919540229885059</v>
      </c>
      <c r="K24" s="1104">
        <f t="shared" si="1"/>
        <v>1.0919540229885059</v>
      </c>
      <c r="L24" s="74"/>
      <c r="M24" s="74"/>
      <c r="N24" s="74"/>
      <c r="O24" s="74"/>
      <c r="P24" s="74"/>
      <c r="Q24" s="74"/>
      <c r="R24" s="74"/>
      <c r="S24" s="74"/>
      <c r="T24" s="74"/>
      <c r="U24" s="74"/>
      <c r="V24" s="74"/>
      <c r="W24" s="1105"/>
    </row>
    <row r="25" spans="1:23" s="1106" customFormat="1" ht="17.100000000000001" customHeight="1" x14ac:dyDescent="0.25">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1.0919540229885059</v>
      </c>
      <c r="K25" s="1104">
        <f t="shared" si="1"/>
        <v>1.0919540229885059</v>
      </c>
      <c r="L25" s="74"/>
      <c r="M25" s="74"/>
      <c r="N25" s="74"/>
      <c r="O25" s="74"/>
      <c r="P25" s="74"/>
      <c r="Q25" s="74"/>
      <c r="R25" s="74"/>
      <c r="S25" s="74"/>
      <c r="T25" s="74"/>
      <c r="U25" s="74"/>
      <c r="V25" s="74"/>
      <c r="W25" s="1105"/>
    </row>
    <row r="26" spans="1:23" s="1106" customFormat="1" ht="17.100000000000001" customHeight="1" x14ac:dyDescent="0.25">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1.0919540229885059</v>
      </c>
      <c r="K26" s="1104">
        <f t="shared" si="1"/>
        <v>1.0919540229885059</v>
      </c>
      <c r="L26" s="74"/>
      <c r="M26" s="74"/>
      <c r="N26" s="74"/>
      <c r="O26" s="74"/>
      <c r="P26" s="74"/>
      <c r="Q26" s="74"/>
      <c r="R26" s="74"/>
      <c r="S26" s="74"/>
      <c r="T26" s="74"/>
      <c r="U26" s="74"/>
      <c r="V26" s="74"/>
      <c r="W26" s="1105"/>
    </row>
    <row r="27" spans="1:23" s="1106" customFormat="1" ht="17.100000000000001" customHeight="1" x14ac:dyDescent="0.25">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1.0919540229885059</v>
      </c>
      <c r="K27" s="1104">
        <f t="shared" ref="K27" si="7">MAX(I27:J27)</f>
        <v>1.0919540229885059</v>
      </c>
      <c r="L27" s="74"/>
      <c r="M27" s="74"/>
      <c r="N27" s="74"/>
      <c r="O27" s="74"/>
      <c r="P27" s="74"/>
      <c r="Q27" s="74"/>
      <c r="R27" s="74"/>
      <c r="S27" s="74"/>
      <c r="T27" s="74"/>
      <c r="U27" s="74"/>
      <c r="V27" s="74"/>
      <c r="W27" s="1105"/>
    </row>
    <row r="28" spans="1:23" s="1106" customFormat="1" ht="17.100000000000001" customHeight="1" x14ac:dyDescent="0.25">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1.0919540229885059</v>
      </c>
      <c r="K28" s="1104">
        <f t="shared" si="1"/>
        <v>1.0919540229885059</v>
      </c>
      <c r="L28" s="74"/>
      <c r="M28" s="74"/>
      <c r="N28" s="74"/>
      <c r="O28" s="74"/>
      <c r="P28" s="74"/>
      <c r="Q28" s="74"/>
      <c r="R28" s="74"/>
      <c r="S28" s="74"/>
      <c r="T28" s="74"/>
      <c r="U28" s="74"/>
      <c r="V28" s="74"/>
      <c r="W28" s="1105"/>
    </row>
    <row r="29" spans="1:23" s="1106" customFormat="1" ht="17.100000000000001" customHeight="1" x14ac:dyDescent="0.25">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1.0919540229885059</v>
      </c>
      <c r="K29" s="1104">
        <f t="shared" si="1"/>
        <v>1.0919540229885059</v>
      </c>
      <c r="L29" s="74"/>
      <c r="M29" s="74"/>
      <c r="N29" s="74"/>
      <c r="O29" s="74"/>
      <c r="P29" s="74"/>
      <c r="Q29" s="74"/>
      <c r="R29" s="74"/>
      <c r="S29" s="74"/>
      <c r="T29" s="74"/>
      <c r="U29" s="74"/>
      <c r="V29" s="74"/>
      <c r="W29" s="1105"/>
    </row>
    <row r="30" spans="1:23" s="1106" customFormat="1" ht="17.100000000000001" customHeight="1" x14ac:dyDescent="0.25">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1.0919540229885059</v>
      </c>
      <c r="K30" s="1104">
        <f t="shared" si="1"/>
        <v>1.0919540229885059</v>
      </c>
      <c r="L30" s="74"/>
      <c r="M30" s="74"/>
      <c r="N30" s="74"/>
      <c r="O30" s="74"/>
      <c r="P30" s="74"/>
      <c r="Q30" s="74"/>
      <c r="R30" s="74"/>
      <c r="S30" s="74"/>
      <c r="T30" s="74"/>
      <c r="U30" s="74"/>
      <c r="V30" s="74"/>
      <c r="W30" s="1105"/>
    </row>
    <row r="31" spans="1:23" s="1106" customFormat="1" ht="17.100000000000001" customHeight="1" x14ac:dyDescent="0.25">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1.0919540229885059</v>
      </c>
      <c r="K31" s="1104">
        <f t="shared" si="1"/>
        <v>1.0919540229885059</v>
      </c>
      <c r="L31" s="74"/>
      <c r="M31" s="74"/>
      <c r="N31" s="74"/>
      <c r="O31" s="74"/>
      <c r="P31" s="74"/>
      <c r="Q31" s="74"/>
      <c r="R31" s="74"/>
      <c r="S31" s="74"/>
      <c r="T31" s="74"/>
      <c r="U31" s="74"/>
      <c r="V31" s="74"/>
      <c r="W31" s="1105"/>
    </row>
    <row r="32" spans="1:23" s="1106" customFormat="1" ht="17.100000000000001" customHeight="1" x14ac:dyDescent="0.25">
      <c r="A32" s="977" t="s">
        <v>1168</v>
      </c>
      <c r="B32" s="1099" t="str">
        <f t="shared" si="0"/>
        <v>нет в спискемонолит</v>
      </c>
      <c r="C32" s="947" t="s">
        <v>1515</v>
      </c>
      <c r="D32" s="1107"/>
      <c r="E32" s="1107"/>
      <c r="F32" s="1101"/>
      <c r="G32" s="1107"/>
      <c r="H32" s="1107"/>
      <c r="I32" s="1108">
        <f>J32</f>
        <v>1.0919540229885059</v>
      </c>
      <c r="J32" s="1103">
        <f>1*('Ввод исходных данных'!$D$83-'Расчет базового уровня'!$D$145)/(6*8.7)</f>
        <v>1.0919540229885059</v>
      </c>
      <c r="K32" s="1104">
        <f t="shared" ref="K32" si="8">MAX(I32:J32)</f>
        <v>1.0919540229885059</v>
      </c>
      <c r="L32" s="74"/>
      <c r="M32" s="74"/>
      <c r="N32" s="74"/>
      <c r="O32" s="74"/>
      <c r="P32" s="74"/>
      <c r="Q32" s="74"/>
      <c r="R32" s="74"/>
      <c r="S32" s="74"/>
      <c r="T32" s="74"/>
      <c r="U32" s="74"/>
      <c r="V32" s="74"/>
      <c r="W32" s="1105"/>
    </row>
    <row r="33" spans="1:23" s="1106" customFormat="1" ht="17.100000000000001" customHeight="1" x14ac:dyDescent="0.25">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1.0919540229885059</v>
      </c>
      <c r="K33" s="1104">
        <f t="shared" si="1"/>
        <v>1.0919540229885059</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25">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74"/>
      <c r="B42" s="74"/>
      <c r="C42" s="74"/>
      <c r="D42" s="74"/>
      <c r="E42" s="74"/>
      <c r="F42" s="74"/>
      <c r="G42" s="74"/>
      <c r="H42" s="74"/>
      <c r="I42" s="74"/>
      <c r="J42" s="74"/>
      <c r="K42" s="74"/>
      <c r="L42" s="74"/>
      <c r="M42" s="74"/>
      <c r="N42" s="74"/>
      <c r="O42" s="74"/>
      <c r="P42" s="74"/>
      <c r="Q42" s="74"/>
      <c r="R42" s="74"/>
      <c r="S42" s="74"/>
      <c r="T42" s="74"/>
      <c r="U42" s="74"/>
      <c r="V42" s="74"/>
    </row>
    <row r="43" spans="1:23" x14ac:dyDescent="0.25">
      <c r="A43" s="95"/>
      <c r="B43" s="95" t="s">
        <v>1510</v>
      </c>
      <c r="C43" s="1121"/>
      <c r="L43" s="74"/>
      <c r="M43" s="74"/>
      <c r="N43" s="74"/>
      <c r="O43" s="74"/>
      <c r="P43" s="74"/>
      <c r="Q43" s="74"/>
      <c r="R43" s="74"/>
      <c r="S43" s="74"/>
      <c r="T43" s="74"/>
      <c r="U43" s="74"/>
      <c r="V43" s="74"/>
    </row>
    <row r="44" spans="1:23" ht="18" customHeight="1" x14ac:dyDescent="0.25">
      <c r="A44" s="95" t="s">
        <v>514</v>
      </c>
      <c r="B44" s="1122">
        <f>1*('Ввод исходных данных'!$D$83-'Расчет базового уровня'!$D$145)/(6*8.7)</f>
        <v>1.0919540229885059</v>
      </c>
    </row>
    <row r="45" spans="1:23" x14ac:dyDescent="0.25">
      <c r="A45" s="95" t="s">
        <v>865</v>
      </c>
      <c r="B45" s="1122">
        <f>0.6*B44</f>
        <v>0.65517241379310354</v>
      </c>
    </row>
    <row r="46" spans="1:23" ht="15" customHeight="1" x14ac:dyDescent="0.3">
      <c r="A46" s="95" t="s">
        <v>864</v>
      </c>
      <c r="B46" s="1122">
        <f>IF(C2&gt;25,IF(C2&gt;44, IF(C2&gt;49,0.52,0.38),0.34), 0.17)</f>
        <v>0.52</v>
      </c>
      <c r="I46" s="1123"/>
    </row>
    <row r="47" spans="1:23" x14ac:dyDescent="0.25">
      <c r="A47" s="274" t="s">
        <v>1329</v>
      </c>
      <c r="B47" s="1124">
        <v>1.32</v>
      </c>
    </row>
    <row r="48" spans="1:23" x14ac:dyDescent="0.25">
      <c r="A48" s="274" t="s">
        <v>1333</v>
      </c>
      <c r="B48" s="1124">
        <f>1*('Ввод исходных данных'!$D$83-'Расчет базового уровня'!$D$145)/(6*8.7)</f>
        <v>1.0919540229885059</v>
      </c>
    </row>
    <row r="49" spans="1:3" x14ac:dyDescent="0.25">
      <c r="A49" s="274" t="s">
        <v>1334</v>
      </c>
      <c r="B49" s="1124">
        <f>1*('Ввод исходных данных'!$D$83-'Расчет базового уровня'!$D$145)/(3*8.7)</f>
        <v>2.1839080459770117</v>
      </c>
    </row>
    <row r="50" spans="1:3" ht="17.25" customHeight="1" x14ac:dyDescent="0.25">
      <c r="A50" s="274" t="s">
        <v>1308</v>
      </c>
      <c r="B50" s="1124">
        <f>0.4*('Ввод исходных данных'!$D$83-'Расчет базового уровня'!$D$145)/(4*8.7)</f>
        <v>0.65517241379310354</v>
      </c>
    </row>
    <row r="51" spans="1:3" x14ac:dyDescent="0.25">
      <c r="A51" s="274" t="s">
        <v>1304</v>
      </c>
      <c r="B51" s="1124">
        <f>B44</f>
        <v>1.0919540229885059</v>
      </c>
    </row>
    <row r="52" spans="1:3" x14ac:dyDescent="0.25">
      <c r="A52" s="1125" t="s">
        <v>937</v>
      </c>
    </row>
    <row r="53" spans="1:3" ht="43.5" x14ac:dyDescent="0.25">
      <c r="A53" s="1126" t="s">
        <v>938</v>
      </c>
      <c r="B53" s="1127" t="s">
        <v>939</v>
      </c>
      <c r="C53" s="1128"/>
    </row>
    <row r="54" spans="1:3" x14ac:dyDescent="0.25">
      <c r="A54" s="1129"/>
      <c r="B54" s="1130" t="s">
        <v>971</v>
      </c>
      <c r="C54" s="1130" t="s">
        <v>932</v>
      </c>
    </row>
    <row r="55" spans="1:3" ht="22.5" x14ac:dyDescent="0.25">
      <c r="A55" s="1131" t="s">
        <v>940</v>
      </c>
      <c r="B55" s="1130">
        <v>0.4</v>
      </c>
      <c r="C55" s="1130"/>
    </row>
    <row r="56" spans="1:3" ht="22.5" x14ac:dyDescent="0.25">
      <c r="A56" s="1131" t="s">
        <v>941</v>
      </c>
      <c r="B56" s="1130">
        <v>0.44</v>
      </c>
      <c r="C56" s="1132">
        <v>0.34</v>
      </c>
    </row>
    <row r="57" spans="1:3" ht="22.5" x14ac:dyDescent="0.25">
      <c r="A57" s="1133" t="s">
        <v>942</v>
      </c>
      <c r="B57" s="1134"/>
      <c r="C57" s="1135"/>
    </row>
    <row r="58" spans="1:3" ht="24.75" customHeight="1" x14ac:dyDescent="0.25">
      <c r="A58" s="1136" t="s">
        <v>943</v>
      </c>
      <c r="B58" s="1137" t="s">
        <v>945</v>
      </c>
      <c r="C58" s="1138"/>
    </row>
    <row r="59" spans="1:3" x14ac:dyDescent="0.25">
      <c r="A59" s="1136" t="s">
        <v>944</v>
      </c>
      <c r="B59" s="1137" t="s">
        <v>946</v>
      </c>
      <c r="C59" s="1138"/>
    </row>
    <row r="60" spans="1:3" ht="22.5" customHeight="1" x14ac:dyDescent="0.25">
      <c r="A60" s="1131" t="s">
        <v>947</v>
      </c>
      <c r="B60" s="1139" t="s">
        <v>945</v>
      </c>
      <c r="C60" s="1140"/>
    </row>
    <row r="61" spans="1:3" ht="22.5" x14ac:dyDescent="0.25">
      <c r="A61" s="1131" t="s">
        <v>948</v>
      </c>
      <c r="B61" s="1130">
        <v>0.36</v>
      </c>
      <c r="C61" s="1130"/>
    </row>
    <row r="62" spans="1:3" ht="22.5" x14ac:dyDescent="0.25">
      <c r="A62" s="1131" t="s">
        <v>949</v>
      </c>
      <c r="B62" s="1130">
        <v>0.52</v>
      </c>
      <c r="C62" s="1130"/>
    </row>
    <row r="63" spans="1:3" ht="25.5" customHeight="1" x14ac:dyDescent="0.25">
      <c r="A63" s="1131" t="s">
        <v>950</v>
      </c>
      <c r="B63" s="1130">
        <v>0.55000000000000004</v>
      </c>
      <c r="C63" s="1130">
        <v>0.46</v>
      </c>
    </row>
    <row r="64" spans="1:3" x14ac:dyDescent="0.25">
      <c r="A64" s="1141" t="s">
        <v>951</v>
      </c>
      <c r="B64" s="1142"/>
      <c r="C64" s="1142"/>
    </row>
    <row r="65" spans="1:3" x14ac:dyDescent="0.25">
      <c r="A65" s="1143" t="s">
        <v>952</v>
      </c>
      <c r="B65" s="1136">
        <v>0.38</v>
      </c>
      <c r="C65" s="1136">
        <v>0.34</v>
      </c>
    </row>
    <row r="66" spans="1:3" x14ac:dyDescent="0.25">
      <c r="A66" s="1143" t="s">
        <v>953</v>
      </c>
      <c r="B66" s="1136">
        <v>0.51</v>
      </c>
      <c r="C66" s="1136">
        <v>0.43</v>
      </c>
    </row>
    <row r="67" spans="1:3" ht="36.75" customHeight="1" x14ac:dyDescent="0.25">
      <c r="A67" s="1144" t="s">
        <v>954</v>
      </c>
      <c r="B67" s="1145">
        <v>0.56000000000000005</v>
      </c>
      <c r="C67" s="1145">
        <v>0.47</v>
      </c>
    </row>
    <row r="68" spans="1:3" ht="36.75" customHeight="1" x14ac:dyDescent="0.25">
      <c r="A68" s="1141" t="s">
        <v>955</v>
      </c>
      <c r="B68" s="1142"/>
      <c r="C68" s="1142"/>
    </row>
    <row r="69" spans="1:3" ht="22.5" x14ac:dyDescent="0.25">
      <c r="A69" s="1143" t="s">
        <v>956</v>
      </c>
      <c r="B69" s="1136">
        <v>0.51</v>
      </c>
      <c r="C69" s="1136">
        <v>0.43</v>
      </c>
    </row>
    <row r="70" spans="1:3" ht="22.5" x14ac:dyDescent="0.25">
      <c r="A70" s="1143" t="s">
        <v>957</v>
      </c>
      <c r="B70" s="1136">
        <v>0.54</v>
      </c>
      <c r="C70" s="1136">
        <v>0.45</v>
      </c>
    </row>
    <row r="71" spans="1:3" x14ac:dyDescent="0.25">
      <c r="A71" s="1143" t="s">
        <v>953</v>
      </c>
      <c r="B71" s="1136">
        <v>0.57999999999999996</v>
      </c>
      <c r="C71" s="1136">
        <v>0.48</v>
      </c>
    </row>
    <row r="72" spans="1:3" x14ac:dyDescent="0.25">
      <c r="A72" s="1143" t="s">
        <v>954</v>
      </c>
      <c r="B72" s="1136">
        <v>0.68</v>
      </c>
      <c r="C72" s="1136">
        <v>0.52</v>
      </c>
    </row>
    <row r="73" spans="1:3" ht="22.5" x14ac:dyDescent="0.25">
      <c r="A73" s="1144" t="s">
        <v>958</v>
      </c>
      <c r="B73" s="1145">
        <v>0.65</v>
      </c>
      <c r="C73" s="1145">
        <v>0.53</v>
      </c>
    </row>
    <row r="74" spans="1:3" ht="22.5" customHeight="1" x14ac:dyDescent="0.25">
      <c r="A74" s="1842" t="s">
        <v>959</v>
      </c>
      <c r="B74" s="1843"/>
      <c r="C74" s="1844"/>
    </row>
    <row r="75" spans="1:3" ht="45" customHeight="1" x14ac:dyDescent="0.25">
      <c r="A75" s="1143" t="s">
        <v>952</v>
      </c>
      <c r="B75" s="1136">
        <v>0.56000000000000005</v>
      </c>
      <c r="C75" s="1136"/>
    </row>
    <row r="76" spans="1:3" ht="56.25" customHeight="1" x14ac:dyDescent="0.25">
      <c r="A76" s="1143" t="s">
        <v>953</v>
      </c>
      <c r="B76" s="1136">
        <v>0.65</v>
      </c>
      <c r="C76" s="1136"/>
    </row>
    <row r="77" spans="1:3" ht="33.75" customHeight="1" x14ac:dyDescent="0.25">
      <c r="A77" s="1143" t="s">
        <v>954</v>
      </c>
      <c r="B77" s="1136">
        <v>0.72</v>
      </c>
      <c r="C77" s="1136"/>
    </row>
    <row r="78" spans="1:3" ht="22.5" x14ac:dyDescent="0.25">
      <c r="A78" s="1143" t="s">
        <v>958</v>
      </c>
      <c r="B78" s="1145">
        <v>0.69</v>
      </c>
      <c r="C78" s="1145"/>
    </row>
    <row r="79" spans="1:3" x14ac:dyDescent="0.25">
      <c r="A79" s="1842" t="s">
        <v>960</v>
      </c>
      <c r="B79" s="1843"/>
      <c r="C79" s="1844"/>
    </row>
    <row r="80" spans="1:3" x14ac:dyDescent="0.25">
      <c r="A80" s="1143" t="s">
        <v>952</v>
      </c>
      <c r="B80" s="1136">
        <v>0.68</v>
      </c>
      <c r="C80" s="1136" t="s">
        <v>746</v>
      </c>
    </row>
    <row r="81" spans="1:15" s="1146" customFormat="1" ht="13.5" customHeight="1" x14ac:dyDescent="0.25">
      <c r="A81" s="1143" t="s">
        <v>953</v>
      </c>
      <c r="B81" s="1136">
        <v>0.74</v>
      </c>
      <c r="C81" s="1136" t="s">
        <v>746</v>
      </c>
      <c r="D81" s="75"/>
      <c r="E81" s="75"/>
      <c r="F81" s="75"/>
      <c r="G81" s="75"/>
      <c r="H81" s="75"/>
      <c r="I81" s="75"/>
      <c r="J81" s="75"/>
      <c r="K81" s="75"/>
      <c r="L81" s="75"/>
      <c r="M81" s="75"/>
      <c r="N81" s="75"/>
      <c r="O81" s="75"/>
    </row>
    <row r="82" spans="1:15" s="1146" customFormat="1" ht="13.5" customHeight="1" x14ac:dyDescent="0.25">
      <c r="A82" s="1143" t="s">
        <v>954</v>
      </c>
      <c r="B82" s="1136">
        <v>0.81</v>
      </c>
      <c r="C82" s="1136" t="s">
        <v>746</v>
      </c>
      <c r="D82" s="75"/>
      <c r="E82" s="75"/>
      <c r="F82" s="75"/>
      <c r="G82" s="75"/>
      <c r="H82" s="75"/>
      <c r="I82" s="75"/>
      <c r="J82" s="75"/>
      <c r="K82" s="75"/>
      <c r="L82" s="75"/>
      <c r="M82" s="75"/>
      <c r="N82" s="75"/>
      <c r="O82" s="75"/>
    </row>
    <row r="83" spans="1:15" s="1146" customFormat="1" ht="13.5" customHeight="1" x14ac:dyDescent="0.25">
      <c r="A83" s="1143" t="s">
        <v>958</v>
      </c>
      <c r="B83" s="1145">
        <v>0.82</v>
      </c>
      <c r="C83" s="1145" t="s">
        <v>746</v>
      </c>
      <c r="D83" s="75"/>
      <c r="E83" s="75"/>
      <c r="F83" s="75"/>
      <c r="G83" s="75"/>
      <c r="H83" s="75"/>
      <c r="I83" s="75"/>
      <c r="J83" s="75"/>
      <c r="K83" s="75"/>
      <c r="L83" s="75"/>
      <c r="M83" s="75"/>
      <c r="N83" s="75"/>
      <c r="O83" s="75"/>
    </row>
    <row r="84" spans="1:15" s="1146" customFormat="1" ht="13.5" customHeight="1" x14ac:dyDescent="0.25">
      <c r="A84" s="1147" t="s">
        <v>961</v>
      </c>
      <c r="B84" s="1130">
        <v>0.7</v>
      </c>
      <c r="C84" s="1130" t="s">
        <v>746</v>
      </c>
      <c r="D84" s="75"/>
      <c r="E84" s="75"/>
      <c r="F84" s="75"/>
      <c r="G84" s="75"/>
      <c r="H84" s="75"/>
      <c r="I84" s="75"/>
      <c r="J84" s="75"/>
      <c r="K84" s="75"/>
      <c r="L84" s="75"/>
      <c r="M84" s="75"/>
      <c r="N84" s="75"/>
      <c r="O84" s="75"/>
    </row>
    <row r="85" spans="1:15" s="1146" customFormat="1" ht="13.5" customHeight="1" x14ac:dyDescent="0.25">
      <c r="A85" s="1131" t="s">
        <v>962</v>
      </c>
      <c r="B85" s="1130">
        <v>0.74</v>
      </c>
      <c r="C85" s="1130" t="s">
        <v>746</v>
      </c>
      <c r="D85" s="75"/>
      <c r="E85" s="75"/>
      <c r="F85" s="75"/>
      <c r="G85" s="75"/>
      <c r="H85" s="75"/>
      <c r="I85" s="75"/>
      <c r="J85" s="75"/>
      <c r="K85" s="75"/>
      <c r="L85" s="75"/>
      <c r="M85" s="75"/>
      <c r="N85" s="75"/>
      <c r="O85" s="75"/>
    </row>
    <row r="86" spans="1:15" s="1146" customFormat="1" ht="13.5" customHeight="1" x14ac:dyDescent="0.25">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25">
      <c r="A87" s="1148" t="s">
        <v>965</v>
      </c>
      <c r="B87" s="1149"/>
      <c r="C87" s="1150"/>
      <c r="D87" s="75"/>
      <c r="E87" s="75"/>
      <c r="F87" s="75"/>
      <c r="G87" s="75"/>
      <c r="H87" s="75"/>
      <c r="I87" s="75"/>
      <c r="J87" s="75"/>
      <c r="K87" s="75"/>
      <c r="L87" s="75"/>
      <c r="M87" s="75"/>
      <c r="N87" s="75"/>
      <c r="O87" s="75"/>
    </row>
    <row r="88" spans="1:15" s="1146" customFormat="1" ht="13.5" customHeight="1" x14ac:dyDescent="0.25">
      <c r="A88" s="1151"/>
      <c r="B88" s="1152"/>
      <c r="C88" s="1153"/>
      <c r="D88" s="75"/>
      <c r="E88" s="75"/>
      <c r="F88" s="75"/>
      <c r="G88" s="75"/>
      <c r="H88" s="75"/>
      <c r="I88" s="75"/>
      <c r="J88" s="75"/>
      <c r="K88" s="75"/>
      <c r="L88" s="75"/>
      <c r="M88" s="75"/>
      <c r="N88" s="75"/>
      <c r="O88" s="75"/>
    </row>
    <row r="89" spans="1:15" s="1146" customFormat="1" ht="13.5" customHeight="1" x14ac:dyDescent="0.25">
      <c r="A89" s="1154" t="s">
        <v>966</v>
      </c>
      <c r="B89" s="1155"/>
      <c r="C89" s="1156"/>
      <c r="D89" s="75"/>
      <c r="E89" s="75"/>
      <c r="F89" s="75"/>
      <c r="G89" s="75"/>
      <c r="H89" s="75"/>
      <c r="I89" s="75"/>
      <c r="J89" s="75"/>
      <c r="K89" s="75"/>
      <c r="L89" s="75"/>
      <c r="M89" s="75"/>
      <c r="N89" s="75"/>
      <c r="O89" s="75"/>
    </row>
    <row r="90" spans="1:15" s="1146" customFormat="1" ht="13.5" customHeight="1" x14ac:dyDescent="0.25">
      <c r="A90" s="1845" t="s">
        <v>967</v>
      </c>
      <c r="B90" s="1846"/>
      <c r="C90" s="1847"/>
      <c r="D90" s="75"/>
      <c r="E90" s="75"/>
      <c r="F90" s="75"/>
      <c r="G90" s="75"/>
      <c r="H90" s="75"/>
      <c r="I90" s="75"/>
      <c r="J90" s="75"/>
      <c r="K90" s="75"/>
      <c r="L90" s="75"/>
      <c r="M90" s="75"/>
      <c r="N90" s="75"/>
      <c r="O90" s="75"/>
    </row>
    <row r="91" spans="1:15" s="1146" customFormat="1" ht="13.5" customHeight="1" x14ac:dyDescent="0.25">
      <c r="A91" s="1845" t="s">
        <v>968</v>
      </c>
      <c r="B91" s="1846"/>
      <c r="C91" s="1847"/>
      <c r="D91" s="75"/>
      <c r="E91" s="75"/>
      <c r="F91" s="75"/>
      <c r="G91" s="75"/>
      <c r="H91" s="75"/>
      <c r="I91" s="75"/>
      <c r="J91" s="75"/>
      <c r="K91" s="75"/>
      <c r="L91" s="75"/>
      <c r="M91" s="75"/>
      <c r="N91" s="75"/>
      <c r="O91" s="75"/>
    </row>
    <row r="92" spans="1:15" s="1146" customFormat="1" ht="13.5" customHeight="1" x14ac:dyDescent="0.25">
      <c r="A92" s="1845" t="s">
        <v>969</v>
      </c>
      <c r="B92" s="1846"/>
      <c r="C92" s="1847"/>
      <c r="D92" s="75"/>
      <c r="E92" s="75"/>
      <c r="F92" s="75"/>
      <c r="G92" s="75"/>
      <c r="H92" s="75"/>
      <c r="I92" s="75"/>
      <c r="J92" s="75"/>
      <c r="K92" s="75"/>
      <c r="L92" s="75"/>
      <c r="M92" s="75"/>
      <c r="N92" s="75"/>
      <c r="O92" s="75"/>
    </row>
    <row r="93" spans="1:15" s="1146" customFormat="1" ht="13.5" customHeight="1" x14ac:dyDescent="0.25">
      <c r="A93" s="1839" t="s">
        <v>970</v>
      </c>
      <c r="B93" s="1840"/>
      <c r="C93" s="1841"/>
      <c r="D93" s="75"/>
      <c r="E93" s="75"/>
      <c r="F93" s="75"/>
      <c r="G93" s="75"/>
      <c r="H93" s="75"/>
      <c r="I93" s="75"/>
      <c r="J93" s="75"/>
      <c r="K93" s="75"/>
      <c r="L93" s="75"/>
      <c r="M93" s="75"/>
      <c r="N93" s="75"/>
      <c r="O93" s="75"/>
    </row>
    <row r="94" spans="1:15" s="1146" customFormat="1" ht="13.5" customHeight="1" x14ac:dyDescent="0.25">
      <c r="A94" s="75"/>
      <c r="B94" s="75"/>
      <c r="C94" s="75"/>
      <c r="D94" s="75"/>
      <c r="E94" s="75"/>
      <c r="F94" s="75"/>
      <c r="G94" s="75"/>
      <c r="H94" s="75"/>
      <c r="I94" s="75"/>
      <c r="J94" s="75"/>
      <c r="K94" s="75"/>
      <c r="L94" s="75"/>
      <c r="M94" s="75"/>
      <c r="N94" s="75"/>
      <c r="O94" s="75"/>
    </row>
    <row r="95" spans="1:15" s="1146" customFormat="1" ht="13.5" customHeight="1" x14ac:dyDescent="0.25">
      <c r="A95" s="75"/>
      <c r="B95" s="75"/>
      <c r="C95" s="75"/>
      <c r="D95" s="75"/>
      <c r="E95" s="75"/>
      <c r="F95" s="75"/>
      <c r="G95" s="75"/>
      <c r="H95" s="75"/>
      <c r="I95" s="75"/>
      <c r="J95" s="75"/>
      <c r="K95" s="75"/>
      <c r="L95" s="75"/>
      <c r="M95" s="75"/>
      <c r="N95" s="75"/>
      <c r="O95" s="75"/>
    </row>
    <row r="96" spans="1:15" s="1146" customFormat="1" ht="13.5" customHeight="1" x14ac:dyDescent="0.25">
      <c r="A96" s="75"/>
      <c r="B96" s="75"/>
      <c r="C96" s="75"/>
      <c r="D96" s="75"/>
      <c r="E96" s="75"/>
      <c r="F96" s="75"/>
      <c r="G96" s="75"/>
      <c r="H96" s="75"/>
      <c r="I96" s="75"/>
      <c r="J96" s="75"/>
      <c r="K96" s="75"/>
      <c r="L96" s="75"/>
      <c r="M96" s="75"/>
      <c r="N96" s="75"/>
      <c r="O96" s="75"/>
    </row>
    <row r="97" spans="1:8" s="1146" customFormat="1" ht="13.5" customHeight="1" x14ac:dyDescent="0.25">
      <c r="A97" s="1857" t="s">
        <v>901</v>
      </c>
      <c r="B97" s="1858" t="s">
        <v>1005</v>
      </c>
      <c r="C97" s="1858"/>
      <c r="D97" s="1858"/>
      <c r="E97" s="1858" t="s">
        <v>1006</v>
      </c>
      <c r="F97" s="1858"/>
      <c r="G97" s="1858"/>
      <c r="H97" s="1858"/>
    </row>
    <row r="98" spans="1:8" s="1146" customFormat="1" ht="13.5" customHeight="1" x14ac:dyDescent="0.25">
      <c r="A98" s="1857"/>
      <c r="B98" s="1157" t="s">
        <v>1007</v>
      </c>
      <c r="C98" s="1858" t="s">
        <v>1009</v>
      </c>
      <c r="D98" s="1865" t="s">
        <v>1010</v>
      </c>
      <c r="E98" s="1858" t="s">
        <v>1012</v>
      </c>
      <c r="F98" s="1858"/>
      <c r="G98" s="1858" t="s">
        <v>1015</v>
      </c>
      <c r="H98" s="1858"/>
    </row>
    <row r="99" spans="1:8" s="1146" customFormat="1" ht="13.5" customHeight="1" x14ac:dyDescent="0.25">
      <c r="A99" s="1857"/>
      <c r="B99" s="1157" t="s">
        <v>1008</v>
      </c>
      <c r="C99" s="1858"/>
      <c r="D99" s="1866"/>
      <c r="E99" s="1858" t="s">
        <v>1013</v>
      </c>
      <c r="F99" s="1858"/>
      <c r="G99" s="1858"/>
      <c r="H99" s="1858"/>
    </row>
    <row r="100" spans="1:8" s="1146" customFormat="1" ht="13.5" customHeight="1" x14ac:dyDescent="0.25">
      <c r="A100" s="1857"/>
      <c r="B100" s="1158"/>
      <c r="C100" s="1858"/>
      <c r="D100" s="1867"/>
      <c r="E100" s="1858" t="s">
        <v>1014</v>
      </c>
      <c r="F100" s="1858"/>
      <c r="G100" s="1858"/>
      <c r="H100" s="1858"/>
    </row>
    <row r="101" spans="1:8" s="1146" customFormat="1" ht="13.5" customHeight="1" x14ac:dyDescent="0.25">
      <c r="A101" s="1857"/>
      <c r="B101" s="1158"/>
      <c r="C101" s="1858"/>
      <c r="D101" s="1157" t="s">
        <v>1011</v>
      </c>
      <c r="E101" s="1157" t="s">
        <v>563</v>
      </c>
      <c r="F101" s="1157" t="s">
        <v>925</v>
      </c>
      <c r="G101" s="1157" t="s">
        <v>563</v>
      </c>
      <c r="H101" s="1159" t="s">
        <v>925</v>
      </c>
    </row>
    <row r="102" spans="1:8" s="1146" customFormat="1" ht="13.5" customHeight="1" x14ac:dyDescent="0.25">
      <c r="A102" s="1160"/>
      <c r="B102" s="1157"/>
      <c r="C102" s="1157"/>
      <c r="D102" s="1157"/>
      <c r="E102" s="1157"/>
      <c r="F102" s="1157"/>
      <c r="G102" s="1157"/>
      <c r="H102" s="1157"/>
    </row>
    <row r="103" spans="1:8" s="1146" customFormat="1" ht="13.5" customHeight="1" x14ac:dyDescent="0.25">
      <c r="A103" s="1860" t="s">
        <v>1016</v>
      </c>
      <c r="B103" s="1860"/>
      <c r="C103" s="1860"/>
      <c r="D103" s="1860"/>
      <c r="E103" s="1860"/>
      <c r="F103" s="1860"/>
      <c r="G103" s="1860"/>
      <c r="H103" s="1860"/>
    </row>
    <row r="104" spans="1:8" s="1146" customFormat="1" ht="13.5" customHeight="1" x14ac:dyDescent="0.25">
      <c r="A104" s="1859" t="s">
        <v>1017</v>
      </c>
      <c r="B104" s="1859"/>
      <c r="C104" s="1859"/>
      <c r="D104" s="1859"/>
      <c r="E104" s="1859"/>
      <c r="F104" s="1859"/>
      <c r="G104" s="1859"/>
      <c r="H104" s="1859"/>
    </row>
    <row r="105" spans="1:8" s="1146" customFormat="1" ht="13.5" customHeight="1" x14ac:dyDescent="0.25">
      <c r="A105" s="1157" t="s">
        <v>1018</v>
      </c>
      <c r="B105" s="1157">
        <v>150</v>
      </c>
      <c r="C105" s="1157">
        <v>1.34</v>
      </c>
      <c r="D105" s="1157">
        <v>0.05</v>
      </c>
      <c r="E105" s="1157">
        <v>1</v>
      </c>
      <c r="F105" s="1157">
        <v>5</v>
      </c>
      <c r="G105" s="1157">
        <v>5.1999999999999998E-2</v>
      </c>
      <c r="H105" s="1157">
        <v>0.06</v>
      </c>
    </row>
    <row r="106" spans="1:8" s="1146" customFormat="1" ht="13.5" customHeight="1" x14ac:dyDescent="0.25">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25">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25">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25">
      <c r="A109" s="1157" t="s">
        <v>1022</v>
      </c>
      <c r="B109" s="1157">
        <v>24</v>
      </c>
      <c r="C109" s="1157">
        <v>1.34</v>
      </c>
      <c r="D109" s="1157">
        <v>0.04</v>
      </c>
      <c r="E109" s="1157">
        <v>2</v>
      </c>
      <c r="F109" s="1157">
        <v>10</v>
      </c>
      <c r="G109" s="1157">
        <v>0.04</v>
      </c>
      <c r="H109" s="1157">
        <v>4.1000000000000002E-2</v>
      </c>
    </row>
    <row r="110" spans="1:8" s="1146" customFormat="1" ht="13.5" customHeight="1" x14ac:dyDescent="0.25">
      <c r="A110" s="1157" t="s">
        <v>1023</v>
      </c>
      <c r="B110" s="1157">
        <v>25</v>
      </c>
      <c r="C110" s="1157">
        <v>1.34</v>
      </c>
      <c r="D110" s="1157">
        <v>2.9000000000000001E-2</v>
      </c>
      <c r="E110" s="1157">
        <v>2</v>
      </c>
      <c r="F110" s="1157">
        <v>10</v>
      </c>
      <c r="G110" s="1157">
        <v>3.1E-2</v>
      </c>
      <c r="H110" s="1157">
        <v>3.1E-2</v>
      </c>
    </row>
    <row r="111" spans="1:8" s="1146" customFormat="1" ht="13.5" customHeight="1" x14ac:dyDescent="0.25">
      <c r="A111" s="1157" t="s">
        <v>1024</v>
      </c>
      <c r="B111" s="1157">
        <v>28</v>
      </c>
      <c r="C111" s="1157">
        <v>1.34</v>
      </c>
      <c r="D111" s="1157">
        <v>2.9000000000000001E-2</v>
      </c>
      <c r="E111" s="1157">
        <v>2</v>
      </c>
      <c r="F111" s="1157">
        <v>10</v>
      </c>
      <c r="G111" s="1157">
        <v>3.1E-2</v>
      </c>
      <c r="H111" s="1157">
        <v>3.1E-2</v>
      </c>
    </row>
    <row r="112" spans="1:8" s="1146" customFormat="1" ht="13.5" customHeight="1" x14ac:dyDescent="0.25">
      <c r="A112" s="1157" t="s">
        <v>1025</v>
      </c>
      <c r="B112" s="1157">
        <v>33</v>
      </c>
      <c r="C112" s="1157">
        <v>1.34</v>
      </c>
      <c r="D112" s="1157">
        <v>2.9000000000000001E-2</v>
      </c>
      <c r="E112" s="1157">
        <v>2</v>
      </c>
      <c r="F112" s="1157">
        <v>10</v>
      </c>
      <c r="G112" s="1157">
        <v>3.1E-2</v>
      </c>
      <c r="H112" s="1157">
        <v>3.1E-2</v>
      </c>
    </row>
    <row r="113" spans="1:8" s="1146" customFormat="1" ht="13.5" customHeight="1" x14ac:dyDescent="0.25">
      <c r="A113" s="1157" t="s">
        <v>1026</v>
      </c>
      <c r="B113" s="1157">
        <v>35</v>
      </c>
      <c r="C113" s="1157">
        <v>1.34</v>
      </c>
      <c r="D113" s="1157">
        <v>0.03</v>
      </c>
      <c r="E113" s="1157">
        <v>2</v>
      </c>
      <c r="F113" s="1157">
        <v>10</v>
      </c>
      <c r="G113" s="1157">
        <v>3.1E-2</v>
      </c>
      <c r="H113" s="1157">
        <v>3.1E-2</v>
      </c>
    </row>
    <row r="114" spans="1:8" s="1146" customFormat="1" ht="13.5" customHeight="1" x14ac:dyDescent="0.25">
      <c r="A114" s="1157" t="s">
        <v>1027</v>
      </c>
      <c r="B114" s="1157">
        <v>45</v>
      </c>
      <c r="C114" s="1157">
        <v>1.34</v>
      </c>
      <c r="D114" s="1157">
        <v>0.03</v>
      </c>
      <c r="E114" s="1157">
        <v>2</v>
      </c>
      <c r="F114" s="1157">
        <v>10</v>
      </c>
      <c r="G114" s="1157">
        <v>3.1E-2</v>
      </c>
      <c r="H114" s="1157">
        <v>3.1E-2</v>
      </c>
    </row>
    <row r="115" spans="1:8" s="1146" customFormat="1" ht="13.5" customHeight="1" x14ac:dyDescent="0.25">
      <c r="A115" s="1157" t="s">
        <v>1028</v>
      </c>
      <c r="B115" s="1157">
        <v>15</v>
      </c>
      <c r="C115" s="1157">
        <v>1.34</v>
      </c>
      <c r="D115" s="1157">
        <v>3.9E-2</v>
      </c>
      <c r="E115" s="1157">
        <v>2</v>
      </c>
      <c r="F115" s="1157">
        <v>10</v>
      </c>
      <c r="G115" s="1157">
        <v>0.04</v>
      </c>
      <c r="H115" s="1157">
        <v>4.3999999999999997E-2</v>
      </c>
    </row>
    <row r="116" spans="1:8" s="1146" customFormat="1" ht="13.5" customHeight="1" x14ac:dyDescent="0.25">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25">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25">
      <c r="A118" s="1157" t="s">
        <v>1031</v>
      </c>
      <c r="B118" s="1157">
        <v>28</v>
      </c>
      <c r="C118" s="1161">
        <v>1.45</v>
      </c>
      <c r="D118" s="1162">
        <v>2.9000000000000001E-2</v>
      </c>
      <c r="E118" s="1157">
        <v>2</v>
      </c>
      <c r="F118" s="1157">
        <v>10</v>
      </c>
      <c r="G118" s="1157">
        <v>0.03</v>
      </c>
      <c r="H118" s="1157">
        <v>3.1E-2</v>
      </c>
    </row>
    <row r="119" spans="1:8" s="1146" customFormat="1" ht="13.5" customHeight="1" x14ac:dyDescent="0.25">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25">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25">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25">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25">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25">
      <c r="A124" s="1157" t="s">
        <v>1037</v>
      </c>
      <c r="B124" s="1157">
        <v>25</v>
      </c>
      <c r="C124" s="1161">
        <v>1.45</v>
      </c>
      <c r="D124" s="1162">
        <v>2.9000000000000001E-2</v>
      </c>
      <c r="E124" s="1157">
        <v>2</v>
      </c>
      <c r="F124" s="1157">
        <v>10</v>
      </c>
      <c r="G124" s="1157">
        <v>3.1E-2</v>
      </c>
      <c r="H124" s="1157">
        <v>3.1E-2</v>
      </c>
    </row>
    <row r="125" spans="1:8" s="1146" customFormat="1" ht="13.5" customHeight="1" x14ac:dyDescent="0.25">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25">
      <c r="A126" s="1858" t="s">
        <v>1022</v>
      </c>
      <c r="B126" s="1157" t="s">
        <v>1039</v>
      </c>
      <c r="C126" s="1861">
        <v>1.26</v>
      </c>
      <c r="D126" s="1862">
        <v>4.1000000000000002E-2</v>
      </c>
      <c r="E126" s="1858">
        <v>2</v>
      </c>
      <c r="F126" s="1858">
        <v>10</v>
      </c>
      <c r="G126" s="1858">
        <v>0.05</v>
      </c>
      <c r="H126" s="1858">
        <v>5.1999999999999998E-2</v>
      </c>
    </row>
    <row r="127" spans="1:8" s="1146" customFormat="1" ht="13.5" customHeight="1" x14ac:dyDescent="0.25">
      <c r="A127" s="1858"/>
      <c r="B127" s="1157" t="s">
        <v>1040</v>
      </c>
      <c r="C127" s="1861"/>
      <c r="D127" s="1862"/>
      <c r="E127" s="1858"/>
      <c r="F127" s="1858"/>
      <c r="G127" s="1858"/>
      <c r="H127" s="1858"/>
    </row>
    <row r="128" spans="1:8" s="1146" customFormat="1" ht="13.5" customHeight="1" x14ac:dyDescent="0.25">
      <c r="A128" s="1157" t="s">
        <v>1041</v>
      </c>
      <c r="B128" s="1157">
        <v>80</v>
      </c>
      <c r="C128" s="1161">
        <v>1.47</v>
      </c>
      <c r="D128" s="1162">
        <v>4.1000000000000002E-2</v>
      </c>
      <c r="E128" s="1157">
        <v>2</v>
      </c>
      <c r="F128" s="1157">
        <v>5</v>
      </c>
      <c r="G128" s="1157">
        <v>0.05</v>
      </c>
      <c r="H128" s="1157">
        <v>0.05</v>
      </c>
    </row>
    <row r="129" spans="1:8" s="1146" customFormat="1" ht="13.5" customHeight="1" x14ac:dyDescent="0.25">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25">
      <c r="A130" s="1160" t="s">
        <v>1019</v>
      </c>
      <c r="B130" s="1157">
        <v>40</v>
      </c>
      <c r="C130" s="1161">
        <v>1.47</v>
      </c>
      <c r="D130" s="1162">
        <v>2.9000000000000001E-2</v>
      </c>
      <c r="E130" s="1157">
        <v>2</v>
      </c>
      <c r="F130" s="1157">
        <v>5</v>
      </c>
      <c r="G130" s="1157">
        <v>0.04</v>
      </c>
      <c r="H130" s="1157">
        <v>0.04</v>
      </c>
    </row>
    <row r="131" spans="1:8" s="1146" customFormat="1" ht="29.25" customHeight="1" x14ac:dyDescent="0.25">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25">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25">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25">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25">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25">
      <c r="A136" s="1157" t="s">
        <v>1044</v>
      </c>
      <c r="B136" s="1157">
        <v>300</v>
      </c>
      <c r="C136" s="1161">
        <v>1.05</v>
      </c>
      <c r="D136" s="1162">
        <v>7.5999999999999998E-2</v>
      </c>
      <c r="E136" s="1157">
        <v>3</v>
      </c>
      <c r="F136" s="1157">
        <v>12</v>
      </c>
      <c r="G136" s="1157">
        <v>0.08</v>
      </c>
      <c r="H136" s="1157">
        <v>0.12</v>
      </c>
    </row>
    <row r="137" spans="1:8" s="1146" customFormat="1" ht="13.5" customHeight="1" x14ac:dyDescent="0.25">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25">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25">
      <c r="A139" s="1858" t="s">
        <v>1046</v>
      </c>
      <c r="B139" s="1157" t="s">
        <v>1047</v>
      </c>
      <c r="C139" s="1161">
        <v>1.806</v>
      </c>
      <c r="D139" s="1162">
        <v>3.9E-2</v>
      </c>
      <c r="E139" s="1157">
        <v>0</v>
      </c>
      <c r="F139" s="1157">
        <v>0</v>
      </c>
      <c r="G139" s="1157">
        <v>3.9E-2</v>
      </c>
      <c r="H139" s="1157" t="s">
        <v>1052</v>
      </c>
    </row>
    <row r="140" spans="1:8" s="1146" customFormat="1" ht="13.5" customHeight="1" x14ac:dyDescent="0.25">
      <c r="A140" s="1858"/>
      <c r="B140" s="1157" t="s">
        <v>1048</v>
      </c>
      <c r="C140" s="1161" t="s">
        <v>1049</v>
      </c>
      <c r="D140" s="1162" t="s">
        <v>1050</v>
      </c>
      <c r="E140" s="1157" t="s">
        <v>1051</v>
      </c>
      <c r="F140" s="1157" t="s">
        <v>1051</v>
      </c>
      <c r="G140" s="1157" t="s">
        <v>1050</v>
      </c>
      <c r="H140" s="1157">
        <v>4.1000000000000002E-2</v>
      </c>
    </row>
    <row r="141" spans="1:8" s="1146" customFormat="1" ht="13.5" customHeight="1" x14ac:dyDescent="0.25">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25">
      <c r="A142" s="1157" t="s">
        <v>1054</v>
      </c>
      <c r="B142" s="1157">
        <v>45</v>
      </c>
      <c r="C142" s="1161">
        <v>1.53</v>
      </c>
      <c r="D142" s="1162">
        <v>0.03</v>
      </c>
      <c r="E142" s="1157">
        <v>2</v>
      </c>
      <c r="F142" s="1157">
        <v>3</v>
      </c>
      <c r="G142" s="1157">
        <v>3.1E-2</v>
      </c>
      <c r="H142" s="1157">
        <v>3.2000000000000001E-2</v>
      </c>
    </row>
    <row r="143" spans="1:8" s="1146" customFormat="1" ht="13.5" customHeight="1" x14ac:dyDescent="0.25">
      <c r="A143" s="1859" t="s">
        <v>1055</v>
      </c>
      <c r="B143" s="1859"/>
      <c r="C143" s="1859"/>
      <c r="D143" s="1859"/>
      <c r="E143" s="1859"/>
      <c r="F143" s="1859"/>
      <c r="G143" s="1859"/>
      <c r="H143" s="1859"/>
    </row>
    <row r="144" spans="1:8" s="1146" customFormat="1" ht="13.5" customHeight="1" x14ac:dyDescent="0.25">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25">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25">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25">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25">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25">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25">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25">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25">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25">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25">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25">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25">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25">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25">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25">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25">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25">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25">
      <c r="A162" s="1163"/>
      <c r="B162" s="1163"/>
      <c r="C162" s="1163"/>
      <c r="D162" s="1163"/>
      <c r="E162" s="1163"/>
      <c r="F162" s="1163"/>
      <c r="G162" s="1163"/>
      <c r="H162" s="1163"/>
    </row>
    <row r="163" spans="1:8" s="1146" customFormat="1" ht="13.5" customHeight="1" x14ac:dyDescent="0.25">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25">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25">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25">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25">
      <c r="A167" s="1157" t="s">
        <v>1067</v>
      </c>
      <c r="B167" s="1157">
        <v>45</v>
      </c>
      <c r="C167" s="1161">
        <v>0.84</v>
      </c>
      <c r="D167" s="1162">
        <v>4.7E-2</v>
      </c>
      <c r="E167" s="1157">
        <v>2</v>
      </c>
      <c r="F167" s="1157">
        <v>5</v>
      </c>
      <c r="G167" s="1157">
        <v>0.06</v>
      </c>
      <c r="H167" s="1157">
        <v>6.4000000000000001E-2</v>
      </c>
    </row>
    <row r="168" spans="1:8" s="1146" customFormat="1" ht="13.5" customHeight="1" x14ac:dyDescent="0.25">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25">
      <c r="A169" s="1157" t="s">
        <v>1069</v>
      </c>
      <c r="B169" s="1157">
        <v>25</v>
      </c>
      <c r="C169" s="1161">
        <v>0.84</v>
      </c>
      <c r="D169" s="1162">
        <v>0.04</v>
      </c>
      <c r="E169" s="1157">
        <v>2</v>
      </c>
      <c r="F169" s="1157">
        <v>5</v>
      </c>
      <c r="G169" s="1157">
        <v>4.2999999999999997E-2</v>
      </c>
      <c r="H169" s="1157">
        <v>0.05</v>
      </c>
    </row>
    <row r="170" spans="1:8" s="1146" customFormat="1" ht="13.5" customHeight="1" x14ac:dyDescent="0.25">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25">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25">
      <c r="A172" s="1161" t="s">
        <v>1019</v>
      </c>
      <c r="B172" s="1157">
        <v>11</v>
      </c>
      <c r="C172" s="1161">
        <v>0.84</v>
      </c>
      <c r="D172" s="1162">
        <v>4.8000000000000001E-2</v>
      </c>
      <c r="E172" s="1157">
        <v>2</v>
      </c>
      <c r="F172" s="1157">
        <v>5</v>
      </c>
      <c r="G172" s="1157">
        <v>0.05</v>
      </c>
      <c r="H172" s="1157">
        <v>5.5E-2</v>
      </c>
    </row>
    <row r="173" spans="1:8" s="1146" customFormat="1" ht="13.5" customHeight="1" x14ac:dyDescent="0.25">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25">
      <c r="A174" s="1157" t="s">
        <v>1022</v>
      </c>
      <c r="B174" s="1157">
        <v>75</v>
      </c>
      <c r="C174" s="1161">
        <v>0.84</v>
      </c>
      <c r="D174" s="1162">
        <v>0.04</v>
      </c>
      <c r="E174" s="1157">
        <v>2</v>
      </c>
      <c r="F174" s="1157">
        <v>5</v>
      </c>
      <c r="G174" s="1157">
        <v>4.2000000000000003E-2</v>
      </c>
      <c r="H174" s="1157">
        <v>4.7E-2</v>
      </c>
    </row>
    <row r="175" spans="1:8" s="1146" customFormat="1" ht="13.5" customHeight="1" x14ac:dyDescent="0.25">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25">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25">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25">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25">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25">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25">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25">
      <c r="A182" s="1157" t="s">
        <v>1071</v>
      </c>
      <c r="B182" s="1157">
        <v>400</v>
      </c>
      <c r="C182" s="1161">
        <v>0.84</v>
      </c>
      <c r="D182" s="1162">
        <v>0.11</v>
      </c>
      <c r="E182" s="1157">
        <v>1</v>
      </c>
      <c r="F182" s="1157">
        <v>2</v>
      </c>
      <c r="G182" s="1157">
        <v>0.12</v>
      </c>
      <c r="H182" s="1157">
        <v>0.14000000000000001</v>
      </c>
    </row>
    <row r="183" spans="1:8" s="1146" customFormat="1" ht="13.5" customHeight="1" x14ac:dyDescent="0.25">
      <c r="A183" s="1157" t="s">
        <v>1022</v>
      </c>
      <c r="B183" s="1157">
        <v>300</v>
      </c>
      <c r="C183" s="1161">
        <v>0.84</v>
      </c>
      <c r="D183" s="1162">
        <v>0.09</v>
      </c>
      <c r="E183" s="1157">
        <v>1</v>
      </c>
      <c r="F183" s="1157">
        <v>2</v>
      </c>
      <c r="G183" s="1157">
        <v>0.11</v>
      </c>
      <c r="H183" s="1157">
        <v>0.12</v>
      </c>
    </row>
    <row r="184" spans="1:8" s="1146" customFormat="1" ht="13.5" customHeight="1" x14ac:dyDescent="0.25">
      <c r="A184" s="1161" t="s">
        <v>1019</v>
      </c>
      <c r="B184" s="1157">
        <v>200</v>
      </c>
      <c r="C184" s="1161">
        <v>0.84</v>
      </c>
      <c r="D184" s="1162">
        <v>7.0000000000000007E-2</v>
      </c>
      <c r="E184" s="1157">
        <v>1</v>
      </c>
      <c r="F184" s="1157">
        <v>2</v>
      </c>
      <c r="G184" s="1157">
        <v>0.08</v>
      </c>
      <c r="H184" s="1157">
        <v>0.09</v>
      </c>
    </row>
    <row r="185" spans="1:8" s="1146" customFormat="1" ht="13.5" customHeight="1" x14ac:dyDescent="0.25">
      <c r="A185" s="1859" t="s">
        <v>1072</v>
      </c>
      <c r="B185" s="1859"/>
      <c r="C185" s="1859"/>
      <c r="D185" s="1859"/>
      <c r="E185" s="1859"/>
      <c r="F185" s="1859"/>
      <c r="G185" s="1859"/>
      <c r="H185" s="1859"/>
    </row>
    <row r="186" spans="1:8" s="1146" customFormat="1" ht="13.5" customHeight="1" x14ac:dyDescent="0.25">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25">
      <c r="A187" s="1157" t="s">
        <v>1022</v>
      </c>
      <c r="B187" s="1157">
        <v>800</v>
      </c>
      <c r="C187" s="1161">
        <v>2.2999999999999998</v>
      </c>
      <c r="D187" s="1162">
        <v>0.13</v>
      </c>
      <c r="E187" s="1157">
        <v>10</v>
      </c>
      <c r="F187" s="1157">
        <v>12</v>
      </c>
      <c r="G187" s="1157">
        <v>0.19</v>
      </c>
      <c r="H187" s="1157">
        <v>0.23</v>
      </c>
    </row>
    <row r="188" spans="1:8" s="1146" customFormat="1" ht="13.5" customHeight="1" x14ac:dyDescent="0.25">
      <c r="A188" s="1161" t="s">
        <v>1019</v>
      </c>
      <c r="B188" s="1157">
        <v>600</v>
      </c>
      <c r="C188" s="1161">
        <v>2.2999999999999998</v>
      </c>
      <c r="D188" s="1162">
        <v>0.11</v>
      </c>
      <c r="E188" s="1157">
        <v>10</v>
      </c>
      <c r="F188" s="1157">
        <v>12</v>
      </c>
      <c r="G188" s="1157">
        <v>0.13</v>
      </c>
      <c r="H188" s="1157">
        <v>0.16</v>
      </c>
    </row>
    <row r="189" spans="1:8" s="1146" customFormat="1" ht="13.5" customHeight="1" x14ac:dyDescent="0.25">
      <c r="A189" s="1161" t="s">
        <v>1019</v>
      </c>
      <c r="B189" s="1157">
        <v>400</v>
      </c>
      <c r="C189" s="1161">
        <v>2.2999999999999998</v>
      </c>
      <c r="D189" s="1162">
        <v>0.08</v>
      </c>
      <c r="E189" s="1157">
        <v>10</v>
      </c>
      <c r="F189" s="1157">
        <v>12</v>
      </c>
      <c r="G189" s="1157">
        <v>0.11</v>
      </c>
      <c r="H189" s="1157">
        <v>0.13</v>
      </c>
    </row>
    <row r="190" spans="1:8" s="1146" customFormat="1" ht="13.5" customHeight="1" x14ac:dyDescent="0.25">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25">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25">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25">
      <c r="A193" s="1161" t="s">
        <v>1019</v>
      </c>
      <c r="B193" s="1157">
        <v>400</v>
      </c>
      <c r="C193" s="1161">
        <v>2.2999999999999998</v>
      </c>
      <c r="D193" s="1162">
        <v>0.08</v>
      </c>
      <c r="E193" s="1157">
        <v>10</v>
      </c>
      <c r="F193" s="1157">
        <v>15</v>
      </c>
      <c r="G193" s="1157">
        <v>0.13</v>
      </c>
      <c r="H193" s="1157">
        <v>0.16</v>
      </c>
    </row>
    <row r="194" spans="1:8" s="1146" customFormat="1" ht="13.5" customHeight="1" x14ac:dyDescent="0.25">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25">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25">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25">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25">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25">
      <c r="A199" s="1157" t="s">
        <v>1079</v>
      </c>
      <c r="B199" s="1157">
        <v>1350</v>
      </c>
      <c r="C199" s="1161">
        <v>0.84</v>
      </c>
      <c r="D199" s="1162">
        <v>0.35</v>
      </c>
      <c r="E199" s="1157">
        <v>4</v>
      </c>
      <c r="F199" s="1157">
        <v>6</v>
      </c>
      <c r="G199" s="1157">
        <v>0.5</v>
      </c>
      <c r="H199" s="1157">
        <v>0.56000000000000005</v>
      </c>
    </row>
    <row r="200" spans="1:8" s="1146" customFormat="1" ht="13.5" customHeight="1" x14ac:dyDescent="0.25">
      <c r="A200" s="1157" t="s">
        <v>1022</v>
      </c>
      <c r="B200" s="1157">
        <v>1100</v>
      </c>
      <c r="C200" s="1161">
        <v>0.84</v>
      </c>
      <c r="D200" s="1162">
        <v>0.23</v>
      </c>
      <c r="E200" s="1157">
        <v>4</v>
      </c>
      <c r="F200" s="1157">
        <v>6</v>
      </c>
      <c r="G200" s="1157">
        <v>0.35</v>
      </c>
      <c r="H200" s="1157">
        <v>0.41</v>
      </c>
    </row>
    <row r="201" spans="1:8" s="1146" customFormat="1" ht="13.5" customHeight="1" x14ac:dyDescent="0.25">
      <c r="A201" s="1157" t="s">
        <v>1080</v>
      </c>
      <c r="B201" s="1157">
        <v>1050</v>
      </c>
      <c r="C201" s="1161">
        <v>0.84</v>
      </c>
      <c r="D201" s="1162">
        <v>0.15</v>
      </c>
      <c r="E201" s="1157">
        <v>4</v>
      </c>
      <c r="F201" s="1157">
        <v>6</v>
      </c>
      <c r="G201" s="1157">
        <v>0.34</v>
      </c>
      <c r="H201" s="1157">
        <v>0.36</v>
      </c>
    </row>
    <row r="202" spans="1:8" s="1146" customFormat="1" ht="13.5" customHeight="1" x14ac:dyDescent="0.25">
      <c r="A202" s="1157" t="s">
        <v>1022</v>
      </c>
      <c r="B202" s="1157">
        <v>800</v>
      </c>
      <c r="C202" s="1161">
        <v>0.84</v>
      </c>
      <c r="D202" s="1162">
        <v>0.15</v>
      </c>
      <c r="E202" s="1157">
        <v>4</v>
      </c>
      <c r="F202" s="1157">
        <v>6</v>
      </c>
      <c r="G202" s="1157">
        <v>0.19</v>
      </c>
      <c r="H202" s="1157">
        <v>0.21</v>
      </c>
    </row>
    <row r="203" spans="1:8" s="1146" customFormat="1" ht="13.5" customHeight="1" x14ac:dyDescent="0.25">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25">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25">
      <c r="A205" s="1163"/>
      <c r="B205" s="1163"/>
      <c r="C205" s="1163"/>
      <c r="D205" s="1163"/>
      <c r="E205" s="1163"/>
      <c r="F205" s="1163"/>
      <c r="G205" s="1163"/>
      <c r="H205" s="1163"/>
    </row>
    <row r="206" spans="1:8" s="1146" customFormat="1" ht="13.5" customHeight="1" x14ac:dyDescent="0.25">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25">
      <c r="A207" s="1161" t="s">
        <v>1019</v>
      </c>
      <c r="B207" s="1157">
        <v>200</v>
      </c>
      <c r="C207" s="1161">
        <v>1.68</v>
      </c>
      <c r="D207" s="1162">
        <v>7.5999999999999998E-2</v>
      </c>
      <c r="E207" s="1157">
        <v>1</v>
      </c>
      <c r="F207" s="1157">
        <v>2</v>
      </c>
      <c r="G207" s="1157">
        <v>7.8E-2</v>
      </c>
      <c r="H207" s="1157">
        <v>0.09</v>
      </c>
    </row>
    <row r="208" spans="1:8" s="1146" customFormat="1" ht="13.5" customHeight="1" x14ac:dyDescent="0.25">
      <c r="A208" s="1859" t="s">
        <v>1082</v>
      </c>
      <c r="B208" s="1859"/>
      <c r="C208" s="1859"/>
      <c r="D208" s="1859"/>
      <c r="E208" s="1859"/>
      <c r="F208" s="1859"/>
      <c r="G208" s="1859"/>
      <c r="H208" s="1859"/>
    </row>
    <row r="209" spans="1:8" s="1146" customFormat="1" ht="13.5" customHeight="1" x14ac:dyDescent="0.25">
      <c r="A209" s="1157" t="s">
        <v>1083</v>
      </c>
      <c r="B209" s="1157">
        <v>600</v>
      </c>
      <c r="C209" s="1161">
        <v>0.84</v>
      </c>
      <c r="D209" s="1162">
        <v>0.14000000000000001</v>
      </c>
      <c r="E209" s="1157">
        <v>2</v>
      </c>
      <c r="F209" s="1157">
        <v>3</v>
      </c>
      <c r="G209" s="1157">
        <v>0.17</v>
      </c>
      <c r="H209" s="1157">
        <v>0.19</v>
      </c>
    </row>
    <row r="210" spans="1:8" s="1146" customFormat="1" ht="13.5" customHeight="1" x14ac:dyDescent="0.25">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25">
      <c r="A211" s="1161" t="s">
        <v>1019</v>
      </c>
      <c r="B211" s="1157">
        <v>450</v>
      </c>
      <c r="C211" s="1161">
        <v>0.84</v>
      </c>
      <c r="D211" s="1162">
        <v>0.13</v>
      </c>
      <c r="E211" s="1157">
        <v>2</v>
      </c>
      <c r="F211" s="1157">
        <v>3</v>
      </c>
      <c r="G211" s="1157">
        <v>0.14000000000000001</v>
      </c>
      <c r="H211" s="1157">
        <v>0.155</v>
      </c>
    </row>
    <row r="212" spans="1:8" s="1146" customFormat="1" ht="13.5" customHeight="1" x14ac:dyDescent="0.25">
      <c r="A212" s="1161" t="s">
        <v>1019</v>
      </c>
      <c r="B212" s="1157">
        <v>400</v>
      </c>
      <c r="C212" s="1161">
        <v>0.84</v>
      </c>
      <c r="D212" s="1162">
        <v>0.12</v>
      </c>
      <c r="E212" s="1157">
        <v>2</v>
      </c>
      <c r="F212" s="1157">
        <v>3</v>
      </c>
      <c r="G212" s="1157">
        <v>0.13</v>
      </c>
      <c r="H212" s="1157">
        <v>0.14499999999999999</v>
      </c>
    </row>
    <row r="213" spans="1:8" s="1146" customFormat="1" ht="13.5" customHeight="1" x14ac:dyDescent="0.25">
      <c r="A213" s="1161" t="s">
        <v>1019</v>
      </c>
      <c r="B213" s="1164">
        <v>350</v>
      </c>
      <c r="C213" s="1161">
        <v>0.84</v>
      </c>
      <c r="D213" s="1162">
        <v>0.115</v>
      </c>
      <c r="E213" s="1157">
        <v>2</v>
      </c>
      <c r="F213" s="1157">
        <v>3</v>
      </c>
      <c r="G213" s="1157">
        <v>0.125</v>
      </c>
      <c r="H213" s="1157">
        <v>0.14000000000000001</v>
      </c>
    </row>
    <row r="214" spans="1:8" s="1146" customFormat="1" ht="13.5" customHeight="1" x14ac:dyDescent="0.25">
      <c r="A214" s="1161" t="s">
        <v>1019</v>
      </c>
      <c r="B214" s="1164">
        <v>300</v>
      </c>
      <c r="C214" s="1161">
        <v>0.84</v>
      </c>
      <c r="D214" s="1162">
        <v>0.108</v>
      </c>
      <c r="E214" s="1157">
        <v>2</v>
      </c>
      <c r="F214" s="1157">
        <v>3</v>
      </c>
      <c r="G214" s="1157">
        <v>0.12</v>
      </c>
      <c r="H214" s="1157">
        <v>0.13</v>
      </c>
    </row>
    <row r="215" spans="1:8" s="1146" customFormat="1" ht="13.5" customHeight="1" x14ac:dyDescent="0.25">
      <c r="A215" s="1157" t="s">
        <v>1083</v>
      </c>
      <c r="B215" s="1157">
        <v>250</v>
      </c>
      <c r="C215" s="1161">
        <v>0.84</v>
      </c>
      <c r="D215" s="1162">
        <v>9.9000000000000005E-2</v>
      </c>
      <c r="E215" s="1157">
        <v>2</v>
      </c>
      <c r="F215" s="1157">
        <v>3</v>
      </c>
      <c r="G215" s="1157">
        <v>0.11</v>
      </c>
      <c r="H215" s="1157">
        <v>0.12</v>
      </c>
    </row>
    <row r="216" spans="1:8" s="1146" customFormat="1" ht="13.5" customHeight="1" x14ac:dyDescent="0.25">
      <c r="A216" s="1157" t="s">
        <v>1084</v>
      </c>
      <c r="B216" s="1164">
        <v>700</v>
      </c>
      <c r="C216" s="1161">
        <v>0.84</v>
      </c>
      <c r="D216" s="1162">
        <v>0.16</v>
      </c>
      <c r="E216" s="1157">
        <v>2</v>
      </c>
      <c r="F216" s="1157">
        <v>4</v>
      </c>
      <c r="G216" s="1157">
        <v>0.18</v>
      </c>
      <c r="H216" s="1157">
        <v>0.21</v>
      </c>
    </row>
    <row r="217" spans="1:8" s="1146" customFormat="1" ht="13.5" customHeight="1" x14ac:dyDescent="0.25">
      <c r="A217" s="1157" t="s">
        <v>1022</v>
      </c>
      <c r="B217" s="1157">
        <v>600</v>
      </c>
      <c r="C217" s="1161">
        <v>0.84</v>
      </c>
      <c r="D217" s="1162">
        <v>0.13</v>
      </c>
      <c r="E217" s="1157">
        <v>2</v>
      </c>
      <c r="F217" s="1157">
        <v>4</v>
      </c>
      <c r="G217" s="1157">
        <v>0.16</v>
      </c>
      <c r="H217" s="1157">
        <v>0.19</v>
      </c>
    </row>
    <row r="218" spans="1:8" s="1146" customFormat="1" ht="13.5" customHeight="1" x14ac:dyDescent="0.25">
      <c r="A218" s="1161" t="s">
        <v>1019</v>
      </c>
      <c r="B218" s="1164">
        <v>500</v>
      </c>
      <c r="C218" s="1161">
        <v>0.84</v>
      </c>
      <c r="D218" s="1162">
        <v>0.12</v>
      </c>
      <c r="E218" s="1157">
        <v>2</v>
      </c>
      <c r="F218" s="1157">
        <v>4</v>
      </c>
      <c r="G218" s="1157">
        <v>0.15</v>
      </c>
      <c r="H218" s="1157">
        <v>0.17499999999999999</v>
      </c>
    </row>
    <row r="219" spans="1:8" s="1146" customFormat="1" ht="13.5" customHeight="1" x14ac:dyDescent="0.25">
      <c r="A219" s="1161" t="s">
        <v>1019</v>
      </c>
      <c r="B219" s="1157">
        <v>450</v>
      </c>
      <c r="C219" s="1161">
        <v>0.84</v>
      </c>
      <c r="D219" s="1162">
        <v>0.11</v>
      </c>
      <c r="E219" s="1157">
        <v>2</v>
      </c>
      <c r="F219" s="1157">
        <v>4</v>
      </c>
      <c r="G219" s="1157">
        <v>0.14000000000000001</v>
      </c>
      <c r="H219" s="1157">
        <v>0.16</v>
      </c>
    </row>
    <row r="220" spans="1:8" s="1146" customFormat="1" ht="13.5" customHeight="1" x14ac:dyDescent="0.25">
      <c r="A220" s="1161" t="s">
        <v>1019</v>
      </c>
      <c r="B220" s="1157">
        <v>400</v>
      </c>
      <c r="C220" s="1161">
        <v>0.84</v>
      </c>
      <c r="D220" s="1162">
        <v>0.11</v>
      </c>
      <c r="E220" s="1157">
        <v>2</v>
      </c>
      <c r="F220" s="1157">
        <v>4</v>
      </c>
      <c r="G220" s="1157">
        <v>0.13</v>
      </c>
      <c r="H220" s="1157">
        <v>0.15</v>
      </c>
    </row>
    <row r="221" spans="1:8" s="1146" customFormat="1" ht="13.5" customHeight="1" x14ac:dyDescent="0.25">
      <c r="A221" s="1157" t="s">
        <v>1085</v>
      </c>
      <c r="B221" s="1157">
        <v>1000</v>
      </c>
      <c r="C221" s="1161">
        <v>0.84</v>
      </c>
      <c r="D221" s="1162">
        <v>0.21</v>
      </c>
      <c r="E221" s="1157">
        <v>2</v>
      </c>
      <c r="F221" s="1157">
        <v>3</v>
      </c>
      <c r="G221" s="1157">
        <v>0.24</v>
      </c>
      <c r="H221" s="1157">
        <v>0.31</v>
      </c>
    </row>
    <row r="222" spans="1:8" s="1146" customFormat="1" ht="13.5" customHeight="1" x14ac:dyDescent="0.25">
      <c r="A222" s="1157" t="s">
        <v>1086</v>
      </c>
      <c r="B222" s="1164">
        <v>900</v>
      </c>
      <c r="C222" s="1161">
        <v>0.84</v>
      </c>
      <c r="D222" s="1162">
        <v>0.19</v>
      </c>
      <c r="E222" s="1157">
        <v>2</v>
      </c>
      <c r="F222" s="1157">
        <v>3</v>
      </c>
      <c r="G222" s="1157">
        <v>0.23</v>
      </c>
      <c r="H222" s="1157">
        <v>0.3</v>
      </c>
    </row>
    <row r="223" spans="1:8" s="1146" customFormat="1" ht="13.5" customHeight="1" x14ac:dyDescent="0.25">
      <c r="A223" s="1157" t="s">
        <v>1022</v>
      </c>
      <c r="B223" s="1164">
        <v>800</v>
      </c>
      <c r="C223" s="1161">
        <v>0.84</v>
      </c>
      <c r="D223" s="1162">
        <v>0.18</v>
      </c>
      <c r="E223" s="1157">
        <v>2</v>
      </c>
      <c r="F223" s="1157">
        <v>3</v>
      </c>
      <c r="G223" s="1157">
        <v>0.21</v>
      </c>
      <c r="H223" s="1157">
        <v>0.26</v>
      </c>
    </row>
    <row r="224" spans="1:8" s="1146" customFormat="1" ht="13.5" customHeight="1" x14ac:dyDescent="0.25">
      <c r="A224" s="1161" t="s">
        <v>1019</v>
      </c>
      <c r="B224" s="1157">
        <v>700</v>
      </c>
      <c r="C224" s="1161">
        <v>0.84</v>
      </c>
      <c r="D224" s="1162">
        <v>0.16</v>
      </c>
      <c r="E224" s="1157">
        <v>2</v>
      </c>
      <c r="F224" s="1157">
        <v>3</v>
      </c>
      <c r="G224" s="1157">
        <v>0.19</v>
      </c>
      <c r="H224" s="1157">
        <v>0.23</v>
      </c>
    </row>
    <row r="225" spans="1:8" s="1146" customFormat="1" ht="13.5" customHeight="1" x14ac:dyDescent="0.25">
      <c r="A225" s="1161" t="s">
        <v>1019</v>
      </c>
      <c r="B225" s="1157">
        <v>600</v>
      </c>
      <c r="C225" s="1161">
        <v>0.84</v>
      </c>
      <c r="D225" s="1162">
        <v>0.15</v>
      </c>
      <c r="E225" s="1157">
        <v>2</v>
      </c>
      <c r="F225" s="1157">
        <v>3</v>
      </c>
      <c r="G225" s="1157">
        <v>0.18</v>
      </c>
      <c r="H225" s="1157">
        <v>0.21</v>
      </c>
    </row>
    <row r="226" spans="1:8" s="1146" customFormat="1" ht="13.5" customHeight="1" x14ac:dyDescent="0.25">
      <c r="A226" s="1161" t="s">
        <v>1019</v>
      </c>
      <c r="B226" s="1164">
        <v>500</v>
      </c>
      <c r="C226" s="1161">
        <v>0.84</v>
      </c>
      <c r="D226" s="1162">
        <v>0.14000000000000001</v>
      </c>
      <c r="E226" s="1157">
        <v>2</v>
      </c>
      <c r="F226" s="1157">
        <v>3</v>
      </c>
      <c r="G226" s="1157">
        <v>0.16</v>
      </c>
      <c r="H226" s="1157">
        <v>0.19</v>
      </c>
    </row>
    <row r="227" spans="1:8" s="1146" customFormat="1" ht="13.5" customHeight="1" x14ac:dyDescent="0.25">
      <c r="A227" s="1161" t="s">
        <v>1019</v>
      </c>
      <c r="B227" s="1157">
        <v>450</v>
      </c>
      <c r="C227" s="1161">
        <v>0.84</v>
      </c>
      <c r="D227" s="1162">
        <v>0.13</v>
      </c>
      <c r="E227" s="1157">
        <v>2</v>
      </c>
      <c r="F227" s="1157">
        <v>3</v>
      </c>
      <c r="G227" s="1157">
        <v>0.15</v>
      </c>
      <c r="H227" s="1157">
        <v>0.17</v>
      </c>
    </row>
    <row r="228" spans="1:8" s="1146" customFormat="1" ht="13.5" customHeight="1" x14ac:dyDescent="0.25">
      <c r="A228" s="1161" t="s">
        <v>1019</v>
      </c>
      <c r="B228" s="1157">
        <v>400</v>
      </c>
      <c r="C228" s="1161">
        <v>0.84</v>
      </c>
      <c r="D228" s="1162">
        <v>0.122</v>
      </c>
      <c r="E228" s="1157">
        <v>2</v>
      </c>
      <c r="F228" s="1157">
        <v>3</v>
      </c>
      <c r="G228" s="1157">
        <v>0.14000000000000001</v>
      </c>
      <c r="H228" s="1157">
        <v>0.16</v>
      </c>
    </row>
    <row r="229" spans="1:8" s="1146" customFormat="1" ht="13.5" customHeight="1" x14ac:dyDescent="0.25">
      <c r="A229" s="1157" t="s">
        <v>1087</v>
      </c>
      <c r="B229" s="1164">
        <v>500</v>
      </c>
      <c r="C229" s="1161">
        <v>0.84</v>
      </c>
      <c r="D229" s="1162">
        <v>0.09</v>
      </c>
      <c r="E229" s="1157">
        <v>1</v>
      </c>
      <c r="F229" s="1157">
        <v>2</v>
      </c>
      <c r="G229" s="1157">
        <v>0.1</v>
      </c>
      <c r="H229" s="1157">
        <v>0.11</v>
      </c>
    </row>
    <row r="230" spans="1:8" s="1146" customFormat="1" ht="13.5" customHeight="1" x14ac:dyDescent="0.25">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25">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25">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25">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25">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25">
      <c r="A235" s="1161" t="s">
        <v>1019</v>
      </c>
      <c r="B235" s="1164">
        <v>100</v>
      </c>
      <c r="C235" s="1161">
        <v>0.84</v>
      </c>
      <c r="D235" s="1162">
        <v>5.5E-2</v>
      </c>
      <c r="E235" s="1157">
        <v>1</v>
      </c>
      <c r="F235" s="1157">
        <v>3</v>
      </c>
      <c r="G235" s="1157">
        <v>6.7000000000000004E-2</v>
      </c>
      <c r="H235" s="1157">
        <v>0.08</v>
      </c>
    </row>
    <row r="236" spans="1:8" s="1146" customFormat="1" ht="13.5" customHeight="1" x14ac:dyDescent="0.25">
      <c r="A236" s="1157" t="s">
        <v>1089</v>
      </c>
      <c r="B236" s="1157">
        <v>1600</v>
      </c>
      <c r="C236" s="1161">
        <v>0.84</v>
      </c>
      <c r="D236" s="1162">
        <v>0.35</v>
      </c>
      <c r="E236" s="1157">
        <v>1</v>
      </c>
      <c r="F236" s="1157">
        <v>2</v>
      </c>
      <c r="G236" s="1157">
        <v>0.47</v>
      </c>
      <c r="H236" s="1157">
        <v>0.57999999999999996</v>
      </c>
    </row>
    <row r="237" spans="1:8" s="1146" customFormat="1" ht="13.5" customHeight="1" x14ac:dyDescent="0.25">
      <c r="A237" s="1859" t="s">
        <v>1090</v>
      </c>
      <c r="B237" s="1859"/>
      <c r="C237" s="1859"/>
      <c r="D237" s="1859"/>
      <c r="E237" s="1859"/>
      <c r="F237" s="1859"/>
      <c r="G237" s="1859"/>
      <c r="H237" s="1859"/>
    </row>
    <row r="238" spans="1:8" s="1146" customFormat="1" ht="13.5" customHeight="1" x14ac:dyDescent="0.25">
      <c r="A238" s="1157" t="s">
        <v>1091</v>
      </c>
      <c r="B238" s="1157">
        <v>1400</v>
      </c>
      <c r="C238" s="1161">
        <v>0.84</v>
      </c>
      <c r="D238" s="1162">
        <v>0.41</v>
      </c>
      <c r="E238" s="1157">
        <v>2</v>
      </c>
      <c r="F238" s="1157">
        <v>4</v>
      </c>
      <c r="G238" s="1157">
        <v>0.52</v>
      </c>
      <c r="H238" s="1157">
        <v>0.64</v>
      </c>
    </row>
    <row r="239" spans="1:8" s="1146" customFormat="1" ht="13.5" customHeight="1" x14ac:dyDescent="0.25">
      <c r="A239" s="1157" t="s">
        <v>1022</v>
      </c>
      <c r="B239" s="1157">
        <v>1200</v>
      </c>
      <c r="C239" s="1161">
        <v>0.84</v>
      </c>
      <c r="D239" s="1162">
        <v>0.35</v>
      </c>
      <c r="E239" s="1157">
        <v>2</v>
      </c>
      <c r="F239" s="1157">
        <v>4</v>
      </c>
      <c r="G239" s="1157">
        <v>0.47</v>
      </c>
      <c r="H239" s="1157">
        <v>0.57999999999999996</v>
      </c>
    </row>
    <row r="240" spans="1:8" s="1146" customFormat="1" ht="13.5" customHeight="1" x14ac:dyDescent="0.25">
      <c r="A240" s="1157" t="s">
        <v>1092</v>
      </c>
      <c r="B240" s="1157">
        <v>1000</v>
      </c>
      <c r="C240" s="1161">
        <v>0.84</v>
      </c>
      <c r="D240" s="1162">
        <v>0.21</v>
      </c>
      <c r="E240" s="1157">
        <v>7</v>
      </c>
      <c r="F240" s="1157">
        <v>12</v>
      </c>
      <c r="G240" s="1157">
        <v>0.26</v>
      </c>
      <c r="H240" s="1157">
        <v>0.3</v>
      </c>
    </row>
    <row r="241" spans="1:8" s="1146" customFormat="1" ht="13.5" customHeight="1" x14ac:dyDescent="0.25">
      <c r="A241" s="1157" t="s">
        <v>1022</v>
      </c>
      <c r="B241" s="1164">
        <v>800</v>
      </c>
      <c r="C241" s="1161">
        <v>0.84</v>
      </c>
      <c r="D241" s="1162">
        <v>0.16</v>
      </c>
      <c r="E241" s="1157">
        <v>7</v>
      </c>
      <c r="F241" s="1157">
        <v>12</v>
      </c>
      <c r="G241" s="1157">
        <v>0.21</v>
      </c>
      <c r="H241" s="1157">
        <v>0.26</v>
      </c>
    </row>
    <row r="242" spans="1:8" s="1146" customFormat="1" ht="13.5" customHeight="1" x14ac:dyDescent="0.25">
      <c r="A242" s="1157" t="s">
        <v>1093</v>
      </c>
      <c r="B242" s="1157">
        <v>600</v>
      </c>
      <c r="C242" s="1161">
        <v>0.84</v>
      </c>
      <c r="D242" s="1162">
        <v>0.14000000000000001</v>
      </c>
      <c r="E242" s="1157">
        <v>10</v>
      </c>
      <c r="F242" s="1157">
        <v>15</v>
      </c>
      <c r="G242" s="1157">
        <v>0.19</v>
      </c>
      <c r="H242" s="1157">
        <v>0.23</v>
      </c>
    </row>
    <row r="243" spans="1:8" s="1146" customFormat="1" ht="13.5" customHeight="1" x14ac:dyDescent="0.25">
      <c r="A243" s="1157" t="s">
        <v>1094</v>
      </c>
      <c r="B243" s="1164">
        <v>500</v>
      </c>
      <c r="C243" s="1161">
        <v>0.84</v>
      </c>
      <c r="D243" s="1162">
        <v>0.12</v>
      </c>
      <c r="E243" s="1157">
        <v>6</v>
      </c>
      <c r="F243" s="1157">
        <v>10</v>
      </c>
      <c r="G243" s="1157">
        <v>0.15</v>
      </c>
      <c r="H243" s="1157">
        <v>0.19</v>
      </c>
    </row>
    <row r="244" spans="1:8" s="1146" customFormat="1" ht="13.5" customHeight="1" x14ac:dyDescent="0.25">
      <c r="A244" s="1157" t="s">
        <v>1022</v>
      </c>
      <c r="B244" s="1157">
        <v>400</v>
      </c>
      <c r="C244" s="1161">
        <v>0.84</v>
      </c>
      <c r="D244" s="1162">
        <v>0.09</v>
      </c>
      <c r="E244" s="1157">
        <v>6</v>
      </c>
      <c r="F244" s="1157">
        <v>10</v>
      </c>
      <c r="G244" s="1157">
        <v>0.13</v>
      </c>
      <c r="H244" s="1157">
        <v>0.15</v>
      </c>
    </row>
    <row r="245" spans="1:8" s="1146" customFormat="1" ht="13.5" customHeight="1" x14ac:dyDescent="0.25">
      <c r="A245" s="1860" t="s">
        <v>1095</v>
      </c>
      <c r="B245" s="1860"/>
      <c r="C245" s="1860"/>
      <c r="D245" s="1860"/>
      <c r="E245" s="1860"/>
      <c r="F245" s="1860"/>
      <c r="G245" s="1860"/>
      <c r="H245" s="1860"/>
    </row>
    <row r="246" spans="1:8" s="1146" customFormat="1" ht="13.5" customHeight="1" x14ac:dyDescent="0.25">
      <c r="A246" s="1863" t="s">
        <v>1096</v>
      </c>
      <c r="B246" s="1863"/>
      <c r="C246" s="1863"/>
      <c r="D246" s="1863"/>
      <c r="E246" s="1863"/>
      <c r="F246" s="1863"/>
      <c r="G246" s="1863"/>
      <c r="H246" s="1863"/>
    </row>
    <row r="247" spans="1:8" s="1146" customFormat="1" ht="13.5" customHeight="1" x14ac:dyDescent="0.25">
      <c r="A247" s="1157" t="s">
        <v>1097</v>
      </c>
      <c r="B247" s="1157">
        <v>1800</v>
      </c>
      <c r="C247" s="1161">
        <v>0.84</v>
      </c>
      <c r="D247" s="1162">
        <v>0.64</v>
      </c>
      <c r="E247" s="1157">
        <v>7</v>
      </c>
      <c r="F247" s="1157">
        <v>10</v>
      </c>
      <c r="G247" s="1157">
        <v>0.87</v>
      </c>
      <c r="H247" s="1157">
        <v>0.99</v>
      </c>
    </row>
    <row r="248" spans="1:8" s="1146" customFormat="1" ht="13.5" customHeight="1" x14ac:dyDescent="0.25">
      <c r="A248" s="1165" t="s">
        <v>1019</v>
      </c>
      <c r="B248" s="1157">
        <v>1600</v>
      </c>
      <c r="C248" s="1161">
        <v>0.84</v>
      </c>
      <c r="D248" s="1162">
        <v>0.52</v>
      </c>
      <c r="E248" s="1157">
        <v>7</v>
      </c>
      <c r="F248" s="1157">
        <v>10</v>
      </c>
      <c r="G248" s="1157">
        <v>0.7</v>
      </c>
      <c r="H248" s="1157">
        <v>0.81</v>
      </c>
    </row>
    <row r="249" spans="1:8" s="1146" customFormat="1" ht="13.5" customHeight="1" x14ac:dyDescent="0.25">
      <c r="A249" s="1165" t="s">
        <v>1019</v>
      </c>
      <c r="B249" s="1157">
        <v>1400</v>
      </c>
      <c r="C249" s="1161">
        <v>0.84</v>
      </c>
      <c r="D249" s="1162">
        <v>0.41</v>
      </c>
      <c r="E249" s="1157">
        <v>7</v>
      </c>
      <c r="F249" s="1157">
        <v>10</v>
      </c>
      <c r="G249" s="1157">
        <v>0.52</v>
      </c>
      <c r="H249" s="1157">
        <v>0.57999999999999996</v>
      </c>
    </row>
    <row r="250" spans="1:8" s="1146" customFormat="1" ht="13.5" customHeight="1" x14ac:dyDescent="0.25">
      <c r="A250" s="1165" t="s">
        <v>1019</v>
      </c>
      <c r="B250" s="1157">
        <v>1200</v>
      </c>
      <c r="C250" s="1161">
        <v>0.84</v>
      </c>
      <c r="D250" s="1162">
        <v>0.28999999999999998</v>
      </c>
      <c r="E250" s="1157">
        <v>7</v>
      </c>
      <c r="F250" s="1157">
        <v>10</v>
      </c>
      <c r="G250" s="1157">
        <v>0.41</v>
      </c>
      <c r="H250" s="1157">
        <v>0.47</v>
      </c>
    </row>
    <row r="251" spans="1:8" s="1146" customFormat="1" ht="13.5" customHeight="1" x14ac:dyDescent="0.25">
      <c r="A251" s="1157" t="s">
        <v>1098</v>
      </c>
      <c r="B251" s="1157">
        <v>1600</v>
      </c>
      <c r="C251" s="1161">
        <v>0.84</v>
      </c>
      <c r="D251" s="1162">
        <v>0.52</v>
      </c>
      <c r="E251" s="1157">
        <v>4</v>
      </c>
      <c r="F251" s="1157">
        <v>6</v>
      </c>
      <c r="G251" s="1157">
        <v>0.62</v>
      </c>
      <c r="H251" s="1157">
        <v>0.68</v>
      </c>
    </row>
    <row r="252" spans="1:8" s="1146" customFormat="1" ht="13.5" customHeight="1" x14ac:dyDescent="0.25">
      <c r="A252" s="1165" t="s">
        <v>1019</v>
      </c>
      <c r="B252" s="1157">
        <v>1400</v>
      </c>
      <c r="C252" s="1161">
        <v>0.84</v>
      </c>
      <c r="D252" s="1162">
        <v>0.42</v>
      </c>
      <c r="E252" s="1157">
        <v>4</v>
      </c>
      <c r="F252" s="1157">
        <v>6</v>
      </c>
      <c r="G252" s="1157">
        <v>0.49</v>
      </c>
      <c r="H252" s="1157">
        <v>0.54</v>
      </c>
    </row>
    <row r="253" spans="1:8" s="1146" customFormat="1" ht="13.5" customHeight="1" x14ac:dyDescent="0.25">
      <c r="A253" s="1165" t="s">
        <v>1019</v>
      </c>
      <c r="B253" s="1157">
        <v>1200</v>
      </c>
      <c r="C253" s="1161">
        <v>0.84</v>
      </c>
      <c r="D253" s="1162">
        <v>0.34</v>
      </c>
      <c r="E253" s="1157">
        <v>4</v>
      </c>
      <c r="F253" s="1157">
        <v>6</v>
      </c>
      <c r="G253" s="1157">
        <v>0.4</v>
      </c>
      <c r="H253" s="1157">
        <v>0.43</v>
      </c>
    </row>
    <row r="254" spans="1:8" s="1146" customFormat="1" ht="13.5" customHeight="1" x14ac:dyDescent="0.25">
      <c r="A254" s="1165" t="s">
        <v>1019</v>
      </c>
      <c r="B254" s="1157">
        <v>1000</v>
      </c>
      <c r="C254" s="1161">
        <v>0.84</v>
      </c>
      <c r="D254" s="1162">
        <v>0.26</v>
      </c>
      <c r="E254" s="1157">
        <v>4</v>
      </c>
      <c r="F254" s="1157">
        <v>6</v>
      </c>
      <c r="G254" s="1157">
        <v>0.3</v>
      </c>
      <c r="H254" s="1157">
        <v>0.34</v>
      </c>
    </row>
    <row r="255" spans="1:8" s="1146" customFormat="1" ht="13.5" customHeight="1" x14ac:dyDescent="0.25">
      <c r="A255" s="1165" t="s">
        <v>1019</v>
      </c>
      <c r="B255" s="1164">
        <v>800</v>
      </c>
      <c r="C255" s="1161">
        <v>0.84</v>
      </c>
      <c r="D255" s="1162">
        <v>0.19</v>
      </c>
      <c r="E255" s="1157">
        <v>4</v>
      </c>
      <c r="F255" s="1157">
        <v>6</v>
      </c>
      <c r="G255" s="1157">
        <v>0.22</v>
      </c>
      <c r="H255" s="1157">
        <v>0.26</v>
      </c>
    </row>
    <row r="256" spans="1:8" s="1146" customFormat="1" ht="13.5" customHeight="1" x14ac:dyDescent="0.25">
      <c r="A256" s="1157" t="s">
        <v>1099</v>
      </c>
      <c r="B256" s="1157">
        <v>1600</v>
      </c>
      <c r="C256" s="1161">
        <v>0.84</v>
      </c>
      <c r="D256" s="1162">
        <v>0.52</v>
      </c>
      <c r="E256" s="1157">
        <v>7</v>
      </c>
      <c r="F256" s="1157">
        <v>10</v>
      </c>
      <c r="G256" s="1157">
        <v>0.64</v>
      </c>
      <c r="H256" s="1157">
        <v>0.7</v>
      </c>
    </row>
    <row r="257" spans="1:8" s="1146" customFormat="1" ht="13.5" customHeight="1" x14ac:dyDescent="0.25">
      <c r="A257" s="1157" t="s">
        <v>1022</v>
      </c>
      <c r="B257" s="1157">
        <v>1400</v>
      </c>
      <c r="C257" s="1161">
        <v>0.84</v>
      </c>
      <c r="D257" s="1162">
        <v>0.41</v>
      </c>
      <c r="E257" s="1157">
        <v>7</v>
      </c>
      <c r="F257" s="1157">
        <v>10</v>
      </c>
      <c r="G257" s="1157">
        <v>0.52</v>
      </c>
      <c r="H257" s="1157">
        <v>0.57999999999999996</v>
      </c>
    </row>
    <row r="258" spans="1:8" s="1146" customFormat="1" ht="13.5" customHeight="1" x14ac:dyDescent="0.25">
      <c r="A258" s="1165" t="s">
        <v>1019</v>
      </c>
      <c r="B258" s="1157">
        <v>1200</v>
      </c>
      <c r="C258" s="1161">
        <v>0.84</v>
      </c>
      <c r="D258" s="1157">
        <v>0.33</v>
      </c>
      <c r="E258" s="1157">
        <v>7</v>
      </c>
      <c r="F258" s="1157">
        <v>10</v>
      </c>
      <c r="G258" s="1157">
        <v>0.41</v>
      </c>
      <c r="H258" s="1157">
        <v>0.47</v>
      </c>
    </row>
    <row r="259" spans="1:8" s="1146" customFormat="1" ht="13.5" customHeight="1" x14ac:dyDescent="0.25">
      <c r="A259" s="1165" t="s">
        <v>1019</v>
      </c>
      <c r="B259" s="1157">
        <v>1000</v>
      </c>
      <c r="C259" s="1161">
        <v>0.84</v>
      </c>
      <c r="D259" s="1157">
        <v>0.24</v>
      </c>
      <c r="E259" s="1157">
        <v>7</v>
      </c>
      <c r="F259" s="1157">
        <v>10</v>
      </c>
      <c r="G259" s="1157">
        <v>0.28999999999999998</v>
      </c>
      <c r="H259" s="1157">
        <v>0.35</v>
      </c>
    </row>
    <row r="260" spans="1:8" s="1146" customFormat="1" ht="13.5" customHeight="1" x14ac:dyDescent="0.25">
      <c r="A260" s="1165" t="s">
        <v>1019</v>
      </c>
      <c r="B260" s="1164">
        <v>800</v>
      </c>
      <c r="C260" s="1161">
        <v>0.84</v>
      </c>
      <c r="D260" s="1157">
        <v>0.2</v>
      </c>
      <c r="E260" s="1157">
        <v>7</v>
      </c>
      <c r="F260" s="1157">
        <v>10</v>
      </c>
      <c r="G260" s="1157">
        <v>0.23</v>
      </c>
      <c r="H260" s="1157">
        <v>0.28999999999999998</v>
      </c>
    </row>
    <row r="261" spans="1:8" s="1146" customFormat="1" ht="13.5" customHeight="1" x14ac:dyDescent="0.25">
      <c r="A261" s="1859" t="s">
        <v>1100</v>
      </c>
      <c r="B261" s="1859"/>
      <c r="C261" s="1859"/>
      <c r="D261" s="1859"/>
      <c r="E261" s="1859"/>
      <c r="F261" s="1859"/>
      <c r="G261" s="1859"/>
      <c r="H261" s="1859"/>
    </row>
    <row r="262" spans="1:8" s="1146" customFormat="1" ht="13.5" customHeight="1" x14ac:dyDescent="0.25">
      <c r="A262" s="1159" t="s">
        <v>1101</v>
      </c>
      <c r="B262" s="1157">
        <v>1800</v>
      </c>
      <c r="C262" s="1161">
        <v>0.84</v>
      </c>
      <c r="D262" s="1157">
        <v>0.66</v>
      </c>
      <c r="E262" s="1157">
        <v>5</v>
      </c>
      <c r="F262" s="1157">
        <v>10</v>
      </c>
      <c r="G262" s="1157">
        <v>0.8</v>
      </c>
      <c r="H262" s="1157">
        <v>0.92</v>
      </c>
    </row>
    <row r="263" spans="1:8" s="1146" customFormat="1" ht="13.5" customHeight="1" x14ac:dyDescent="0.25">
      <c r="A263" s="1159" t="s">
        <v>1101</v>
      </c>
      <c r="B263" s="1157">
        <v>1600</v>
      </c>
      <c r="C263" s="1161">
        <v>0.84</v>
      </c>
      <c r="D263" s="1157">
        <v>0.57999999999999996</v>
      </c>
      <c r="E263" s="1157">
        <v>5</v>
      </c>
      <c r="F263" s="1157">
        <v>10</v>
      </c>
      <c r="G263" s="1157">
        <v>0.67</v>
      </c>
      <c r="H263" s="1157">
        <v>0.79</v>
      </c>
    </row>
    <row r="264" spans="1:8" s="1146" customFormat="1" ht="13.5" customHeight="1" x14ac:dyDescent="0.25">
      <c r="A264" s="1159" t="s">
        <v>1101</v>
      </c>
      <c r="B264" s="1157">
        <v>1400</v>
      </c>
      <c r="C264" s="1161">
        <v>0.84</v>
      </c>
      <c r="D264" s="1157">
        <v>0.47</v>
      </c>
      <c r="E264" s="1157">
        <v>5</v>
      </c>
      <c r="F264" s="1157">
        <v>10</v>
      </c>
      <c r="G264" s="1157">
        <v>0.56000000000000005</v>
      </c>
      <c r="H264" s="1157">
        <v>0.65</v>
      </c>
    </row>
    <row r="265" spans="1:8" s="1146" customFormat="1" ht="13.5" customHeight="1" x14ac:dyDescent="0.25">
      <c r="A265" s="1159" t="s">
        <v>1101</v>
      </c>
      <c r="B265" s="1157">
        <v>1200</v>
      </c>
      <c r="C265" s="1161">
        <v>0.84</v>
      </c>
      <c r="D265" s="1157">
        <v>0.36</v>
      </c>
      <c r="E265" s="1157">
        <v>5</v>
      </c>
      <c r="F265" s="1157">
        <v>10</v>
      </c>
      <c r="G265" s="1157">
        <v>0.44</v>
      </c>
      <c r="H265" s="1157">
        <v>0.52</v>
      </c>
    </row>
    <row r="266" spans="1:8" s="1146" customFormat="1" ht="13.5" customHeight="1" x14ac:dyDescent="0.25">
      <c r="A266" s="1159" t="s">
        <v>1101</v>
      </c>
      <c r="B266" s="1157">
        <v>1000</v>
      </c>
      <c r="C266" s="1161">
        <v>0.84</v>
      </c>
      <c r="D266" s="1157">
        <v>0.27</v>
      </c>
      <c r="E266" s="1157">
        <v>5</v>
      </c>
      <c r="F266" s="1157">
        <v>10</v>
      </c>
      <c r="G266" s="1157">
        <v>0.33</v>
      </c>
      <c r="H266" s="1157">
        <v>0.41</v>
      </c>
    </row>
    <row r="267" spans="1:8" s="1146" customFormat="1" ht="13.5" customHeight="1" x14ac:dyDescent="0.25">
      <c r="A267" s="1159" t="s">
        <v>1101</v>
      </c>
      <c r="B267" s="1164">
        <v>800</v>
      </c>
      <c r="C267" s="1161">
        <v>0.84</v>
      </c>
      <c r="D267" s="1157">
        <v>0.21</v>
      </c>
      <c r="E267" s="1157">
        <v>5</v>
      </c>
      <c r="F267" s="1157">
        <v>10</v>
      </c>
      <c r="G267" s="1157">
        <v>0.24</v>
      </c>
      <c r="H267" s="1157">
        <v>0.31</v>
      </c>
    </row>
    <row r="268" spans="1:8" s="1146" customFormat="1" ht="13.5" customHeight="1" x14ac:dyDescent="0.25">
      <c r="A268" s="1159" t="s">
        <v>1101</v>
      </c>
      <c r="B268" s="1157">
        <v>600</v>
      </c>
      <c r="C268" s="1161">
        <v>0.84</v>
      </c>
      <c r="D268" s="1157">
        <v>0.16</v>
      </c>
      <c r="E268" s="1157">
        <v>5</v>
      </c>
      <c r="F268" s="1157">
        <v>10</v>
      </c>
      <c r="G268" s="1157">
        <v>0.2</v>
      </c>
      <c r="H268" s="1157">
        <v>0.26</v>
      </c>
    </row>
    <row r="269" spans="1:8" s="1146" customFormat="1" ht="13.5" customHeight="1" x14ac:dyDescent="0.25">
      <c r="A269" s="1159" t="s">
        <v>1101</v>
      </c>
      <c r="B269" s="1164">
        <v>500</v>
      </c>
      <c r="C269" s="1161">
        <v>0.84</v>
      </c>
      <c r="D269" s="1157">
        <v>0.14000000000000001</v>
      </c>
      <c r="E269" s="1157">
        <v>5</v>
      </c>
      <c r="F269" s="1157">
        <v>10</v>
      </c>
      <c r="G269" s="1157">
        <v>0.17</v>
      </c>
      <c r="H269" s="1157">
        <v>0.23</v>
      </c>
    </row>
    <row r="270" spans="1:8" s="1146" customFormat="1" ht="13.5" customHeight="1" x14ac:dyDescent="0.25">
      <c r="A270" s="1157" t="s">
        <v>1102</v>
      </c>
      <c r="B270" s="1157">
        <v>1200</v>
      </c>
      <c r="C270" s="1161">
        <v>0.84</v>
      </c>
      <c r="D270" s="1157">
        <v>0.41</v>
      </c>
      <c r="E270" s="1157">
        <v>4</v>
      </c>
      <c r="F270" s="1157">
        <v>8</v>
      </c>
      <c r="G270" s="1157">
        <v>0.52</v>
      </c>
      <c r="H270" s="1157">
        <v>0.57999999999999996</v>
      </c>
    </row>
    <row r="271" spans="1:8" s="1146" customFormat="1" ht="13.5" customHeight="1" x14ac:dyDescent="0.25">
      <c r="A271" s="1157" t="s">
        <v>1022</v>
      </c>
      <c r="B271" s="1157">
        <v>1000</v>
      </c>
      <c r="C271" s="1161">
        <v>0.84</v>
      </c>
      <c r="D271" s="1157">
        <v>0.33</v>
      </c>
      <c r="E271" s="1157">
        <v>4</v>
      </c>
      <c r="F271" s="1157">
        <v>8</v>
      </c>
      <c r="G271" s="1157">
        <v>0.41</v>
      </c>
      <c r="H271" s="1157">
        <v>0.47</v>
      </c>
    </row>
    <row r="272" spans="1:8" s="1146" customFormat="1" ht="13.5" customHeight="1" x14ac:dyDescent="0.25">
      <c r="A272" s="1165" t="s">
        <v>1019</v>
      </c>
      <c r="B272" s="1164">
        <v>800</v>
      </c>
      <c r="C272" s="1161">
        <v>0.84</v>
      </c>
      <c r="D272" s="1157">
        <v>0.23</v>
      </c>
      <c r="E272" s="1157">
        <v>4</v>
      </c>
      <c r="F272" s="1157">
        <v>8</v>
      </c>
      <c r="G272" s="1157">
        <v>0.28999999999999998</v>
      </c>
      <c r="H272" s="1157">
        <v>0.35</v>
      </c>
    </row>
    <row r="273" spans="1:8" s="1146" customFormat="1" ht="13.5" customHeight="1" x14ac:dyDescent="0.25">
      <c r="A273" s="1157" t="s">
        <v>1103</v>
      </c>
      <c r="B273" s="1157">
        <v>1000</v>
      </c>
      <c r="C273" s="1161">
        <v>0.84</v>
      </c>
      <c r="D273" s="1157">
        <v>0.28000000000000003</v>
      </c>
      <c r="E273" s="1157">
        <v>9</v>
      </c>
      <c r="F273" s="1157">
        <v>13</v>
      </c>
      <c r="G273" s="1157">
        <v>0.35</v>
      </c>
      <c r="H273" s="1157">
        <v>0.41</v>
      </c>
    </row>
    <row r="274" spans="1:8" s="1146" customFormat="1" ht="13.5" customHeight="1" x14ac:dyDescent="0.25">
      <c r="A274" s="1157" t="s">
        <v>1022</v>
      </c>
      <c r="B274" s="1164">
        <v>800</v>
      </c>
      <c r="C274" s="1161">
        <v>0.84</v>
      </c>
      <c r="D274" s="1157">
        <v>0.22</v>
      </c>
      <c r="E274" s="1157">
        <v>9</v>
      </c>
      <c r="F274" s="1157">
        <v>13</v>
      </c>
      <c r="G274" s="1157">
        <v>0.28999999999999998</v>
      </c>
      <c r="H274" s="1157">
        <v>0.35</v>
      </c>
    </row>
    <row r="275" spans="1:8" s="1146" customFormat="1" ht="13.5" customHeight="1" x14ac:dyDescent="0.25">
      <c r="A275" s="1157" t="s">
        <v>1104</v>
      </c>
      <c r="B275" s="1157">
        <v>1400</v>
      </c>
      <c r="C275" s="1161">
        <v>0.84</v>
      </c>
      <c r="D275" s="1157">
        <v>0.49</v>
      </c>
      <c r="E275" s="1157">
        <v>4</v>
      </c>
      <c r="F275" s="1157">
        <v>7</v>
      </c>
      <c r="G275" s="1157">
        <v>0.56000000000000005</v>
      </c>
      <c r="H275" s="1157">
        <v>0.64</v>
      </c>
    </row>
    <row r="276" spans="1:8" s="1146" customFormat="1" ht="13.5" customHeight="1" x14ac:dyDescent="0.25">
      <c r="A276" s="1165" t="s">
        <v>1019</v>
      </c>
      <c r="B276" s="1157">
        <v>1200</v>
      </c>
      <c r="C276" s="1161">
        <v>0.84</v>
      </c>
      <c r="D276" s="1157">
        <v>0.36</v>
      </c>
      <c r="E276" s="1157">
        <v>4</v>
      </c>
      <c r="F276" s="1157">
        <v>7</v>
      </c>
      <c r="G276" s="1157">
        <v>0.44</v>
      </c>
      <c r="H276" s="1157">
        <v>0.5</v>
      </c>
    </row>
    <row r="277" spans="1:8" s="1146" customFormat="1" ht="13.5" customHeight="1" x14ac:dyDescent="0.25">
      <c r="A277" s="1165" t="s">
        <v>1019</v>
      </c>
      <c r="B277" s="1157">
        <v>1000</v>
      </c>
      <c r="C277" s="1161">
        <v>0.84</v>
      </c>
      <c r="D277" s="1157">
        <v>0.27</v>
      </c>
      <c r="E277" s="1157">
        <v>4</v>
      </c>
      <c r="F277" s="1157">
        <v>7</v>
      </c>
      <c r="G277" s="1157">
        <v>0.33</v>
      </c>
      <c r="H277" s="1157">
        <v>0.38</v>
      </c>
    </row>
    <row r="278" spans="1:8" s="1146" customFormat="1" ht="13.5" customHeight="1" x14ac:dyDescent="0.25">
      <c r="A278" s="1157" t="s">
        <v>1105</v>
      </c>
      <c r="B278" s="1157">
        <v>1200</v>
      </c>
      <c r="C278" s="1161">
        <v>0.84</v>
      </c>
      <c r="D278" s="1157">
        <v>0.28999999999999998</v>
      </c>
      <c r="E278" s="1157">
        <v>10</v>
      </c>
      <c r="F278" s="1157">
        <v>15</v>
      </c>
      <c r="G278" s="1157">
        <v>0.44</v>
      </c>
      <c r="H278" s="1157">
        <v>0.5</v>
      </c>
    </row>
    <row r="279" spans="1:8" s="1146" customFormat="1" ht="13.5" customHeight="1" x14ac:dyDescent="0.25">
      <c r="A279" s="1165" t="s">
        <v>1019</v>
      </c>
      <c r="B279" s="1157">
        <v>1000</v>
      </c>
      <c r="C279" s="1161">
        <v>0.84</v>
      </c>
      <c r="D279" s="1157">
        <v>0.22</v>
      </c>
      <c r="E279" s="1157">
        <v>10</v>
      </c>
      <c r="F279" s="1157">
        <v>15</v>
      </c>
      <c r="G279" s="1157">
        <v>0.33</v>
      </c>
      <c r="H279" s="1157">
        <v>0.38</v>
      </c>
    </row>
    <row r="280" spans="1:8" s="1146" customFormat="1" ht="13.5" customHeight="1" x14ac:dyDescent="0.25">
      <c r="A280" s="1165" t="s">
        <v>1019</v>
      </c>
      <c r="B280" s="1164">
        <v>800</v>
      </c>
      <c r="C280" s="1161">
        <v>0.84</v>
      </c>
      <c r="D280" s="1157">
        <v>0.16</v>
      </c>
      <c r="E280" s="1157">
        <v>10</v>
      </c>
      <c r="F280" s="1157">
        <v>15</v>
      </c>
      <c r="G280" s="1157">
        <v>0.27</v>
      </c>
      <c r="H280" s="1157">
        <v>0.33</v>
      </c>
    </row>
    <row r="281" spans="1:8" s="1146" customFormat="1" ht="13.5" customHeight="1" x14ac:dyDescent="0.25">
      <c r="A281" s="1165" t="s">
        <v>1019</v>
      </c>
      <c r="B281" s="1157">
        <v>600</v>
      </c>
      <c r="C281" s="1161">
        <v>0.84</v>
      </c>
      <c r="D281" s="1157">
        <v>0.12</v>
      </c>
      <c r="E281" s="1157">
        <v>10</v>
      </c>
      <c r="F281" s="1157">
        <v>15</v>
      </c>
      <c r="G281" s="1157">
        <v>0.19</v>
      </c>
      <c r="H281" s="1157">
        <v>0.23</v>
      </c>
    </row>
    <row r="282" spans="1:8" s="1146" customFormat="1" ht="13.5" customHeight="1" x14ac:dyDescent="0.25">
      <c r="A282" s="1157" t="s">
        <v>1106</v>
      </c>
      <c r="B282" s="1157">
        <v>1800</v>
      </c>
      <c r="C282" s="1161">
        <v>0.84</v>
      </c>
      <c r="D282" s="1157">
        <v>0.52</v>
      </c>
      <c r="E282" s="1157">
        <v>5</v>
      </c>
      <c r="F282" s="1157">
        <v>8</v>
      </c>
      <c r="G282" s="1157">
        <v>0.63</v>
      </c>
      <c r="H282" s="1157">
        <v>0.76</v>
      </c>
    </row>
    <row r="283" spans="1:8" s="1146" customFormat="1" ht="13.5" customHeight="1" x14ac:dyDescent="0.25">
      <c r="A283" s="1157" t="s">
        <v>1022</v>
      </c>
      <c r="B283" s="1157">
        <v>1600</v>
      </c>
      <c r="C283" s="1161">
        <v>0.84</v>
      </c>
      <c r="D283" s="1157">
        <v>0.41</v>
      </c>
      <c r="E283" s="1157">
        <v>5</v>
      </c>
      <c r="F283" s="1157">
        <v>8</v>
      </c>
      <c r="G283" s="1157">
        <v>0.52</v>
      </c>
      <c r="H283" s="1157">
        <v>0.63</v>
      </c>
    </row>
    <row r="284" spans="1:8" s="1146" customFormat="1" ht="13.5" customHeight="1" x14ac:dyDescent="0.25">
      <c r="A284" s="1165" t="s">
        <v>1019</v>
      </c>
      <c r="B284" s="1157">
        <v>1400</v>
      </c>
      <c r="C284" s="1161">
        <v>0.84</v>
      </c>
      <c r="D284" s="1157">
        <v>0.35</v>
      </c>
      <c r="E284" s="1157">
        <v>5</v>
      </c>
      <c r="F284" s="1157">
        <v>8</v>
      </c>
      <c r="G284" s="1157">
        <v>0.44</v>
      </c>
      <c r="H284" s="1157">
        <v>0.52</v>
      </c>
    </row>
    <row r="285" spans="1:8" s="1146" customFormat="1" ht="13.5" customHeight="1" x14ac:dyDescent="0.25">
      <c r="A285" s="1165" t="s">
        <v>1019</v>
      </c>
      <c r="B285" s="1157">
        <v>1200</v>
      </c>
      <c r="C285" s="1161">
        <v>0.84</v>
      </c>
      <c r="D285" s="1157">
        <v>0.28999999999999998</v>
      </c>
      <c r="E285" s="1157">
        <v>5</v>
      </c>
      <c r="F285" s="1157">
        <v>8</v>
      </c>
      <c r="G285" s="1157">
        <v>0.37</v>
      </c>
      <c r="H285" s="1157">
        <v>0.44</v>
      </c>
    </row>
    <row r="286" spans="1:8" s="1146" customFormat="1" ht="13.5" customHeight="1" x14ac:dyDescent="0.25">
      <c r="A286" s="1165" t="s">
        <v>1019</v>
      </c>
      <c r="B286" s="1157">
        <v>1000</v>
      </c>
      <c r="C286" s="1161">
        <v>0.84</v>
      </c>
      <c r="D286" s="1157">
        <v>0.23</v>
      </c>
      <c r="E286" s="1157">
        <v>5</v>
      </c>
      <c r="F286" s="1157">
        <v>8</v>
      </c>
      <c r="G286" s="1157">
        <v>0.31</v>
      </c>
      <c r="H286" s="1157">
        <v>0.37</v>
      </c>
    </row>
    <row r="287" spans="1:8" s="1146" customFormat="1" ht="13.5" customHeight="1" x14ac:dyDescent="0.25">
      <c r="A287" s="1157" t="s">
        <v>1107</v>
      </c>
      <c r="B287" s="1157">
        <v>1600</v>
      </c>
      <c r="C287" s="1161">
        <v>0.84</v>
      </c>
      <c r="D287" s="1157">
        <v>0.47</v>
      </c>
      <c r="E287" s="1157">
        <v>8</v>
      </c>
      <c r="F287" s="1157">
        <v>11</v>
      </c>
      <c r="G287" s="1157">
        <v>0.63</v>
      </c>
      <c r="H287" s="1157">
        <v>0.7</v>
      </c>
    </row>
    <row r="288" spans="1:8" s="1146" customFormat="1" ht="13.5" customHeight="1" x14ac:dyDescent="0.25">
      <c r="A288" s="1157" t="s">
        <v>1022</v>
      </c>
      <c r="B288" s="1157">
        <v>1400</v>
      </c>
      <c r="C288" s="1161">
        <v>0.84</v>
      </c>
      <c r="D288" s="1157">
        <v>0.35</v>
      </c>
      <c r="E288" s="1157">
        <v>8</v>
      </c>
      <c r="F288" s="1157">
        <v>11</v>
      </c>
      <c r="G288" s="1157">
        <v>0.52</v>
      </c>
      <c r="H288" s="1157">
        <v>0.57999999999999996</v>
      </c>
    </row>
    <row r="289" spans="1:8" s="1146" customFormat="1" ht="13.5" customHeight="1" x14ac:dyDescent="0.25">
      <c r="A289" s="1165" t="s">
        <v>1019</v>
      </c>
      <c r="B289" s="1157">
        <v>1200</v>
      </c>
      <c r="C289" s="1161">
        <v>0.84</v>
      </c>
      <c r="D289" s="1157">
        <v>0.28999999999999998</v>
      </c>
      <c r="E289" s="1157">
        <v>8</v>
      </c>
      <c r="F289" s="1157">
        <v>11</v>
      </c>
      <c r="G289" s="1157">
        <v>0.41</v>
      </c>
      <c r="H289" s="1157">
        <v>0.47</v>
      </c>
    </row>
    <row r="290" spans="1:8" s="1146" customFormat="1" ht="13.5" customHeight="1" x14ac:dyDescent="0.25">
      <c r="A290" s="1165" t="s">
        <v>1019</v>
      </c>
      <c r="B290" s="1157">
        <v>1000</v>
      </c>
      <c r="C290" s="1161">
        <v>0.84</v>
      </c>
      <c r="D290" s="1157">
        <v>0.23</v>
      </c>
      <c r="E290" s="1157">
        <v>8</v>
      </c>
      <c r="F290" s="1157">
        <v>11</v>
      </c>
      <c r="G290" s="1157">
        <v>0.35</v>
      </c>
      <c r="H290" s="1157">
        <v>0.41</v>
      </c>
    </row>
    <row r="291" spans="1:8" s="1146" customFormat="1" ht="13.5" customHeight="1" x14ac:dyDescent="0.25">
      <c r="A291" s="1165" t="s">
        <v>1019</v>
      </c>
      <c r="B291" s="1164">
        <v>800</v>
      </c>
      <c r="C291" s="1161">
        <v>0.84</v>
      </c>
      <c r="D291" s="1157">
        <v>0.17</v>
      </c>
      <c r="E291" s="1157">
        <v>8</v>
      </c>
      <c r="F291" s="1157">
        <v>11</v>
      </c>
      <c r="G291" s="1157">
        <v>0.28999999999999998</v>
      </c>
      <c r="H291" s="1157">
        <v>0.35</v>
      </c>
    </row>
    <row r="292" spans="1:8" s="1146" customFormat="1" ht="13.5" customHeight="1" x14ac:dyDescent="0.25">
      <c r="A292" s="1157" t="s">
        <v>1108</v>
      </c>
      <c r="B292" s="1157">
        <v>1800</v>
      </c>
      <c r="C292" s="1161">
        <v>0.84</v>
      </c>
      <c r="D292" s="1157">
        <v>0.57999999999999996</v>
      </c>
      <c r="E292" s="1157">
        <v>5</v>
      </c>
      <c r="F292" s="1157">
        <v>8</v>
      </c>
      <c r="G292" s="1157">
        <v>0.7</v>
      </c>
      <c r="H292" s="1157">
        <v>0.81</v>
      </c>
    </row>
    <row r="293" spans="1:8" s="1146" customFormat="1" ht="13.5" customHeight="1" x14ac:dyDescent="0.25">
      <c r="A293" s="1157" t="s">
        <v>1108</v>
      </c>
      <c r="B293" s="1157">
        <v>1600</v>
      </c>
      <c r="C293" s="1161">
        <v>0.84</v>
      </c>
      <c r="D293" s="1157">
        <v>0.47</v>
      </c>
      <c r="E293" s="1157">
        <v>5</v>
      </c>
      <c r="F293" s="1157">
        <v>8</v>
      </c>
      <c r="G293" s="1157">
        <v>0.57999999999999996</v>
      </c>
      <c r="H293" s="1157">
        <v>0.64</v>
      </c>
    </row>
    <row r="294" spans="1:8" s="1146" customFormat="1" ht="13.5" customHeight="1" x14ac:dyDescent="0.25">
      <c r="A294" s="1157" t="s">
        <v>1022</v>
      </c>
      <c r="B294" s="1157">
        <v>1400</v>
      </c>
      <c r="C294" s="1161">
        <v>0.84</v>
      </c>
      <c r="D294" s="1157">
        <v>0.41</v>
      </c>
      <c r="E294" s="1157">
        <v>5</v>
      </c>
      <c r="F294" s="1157">
        <v>8</v>
      </c>
      <c r="G294" s="1157">
        <v>0.52</v>
      </c>
      <c r="H294" s="1157">
        <v>0.57999999999999996</v>
      </c>
    </row>
    <row r="295" spans="1:8" s="1146" customFormat="1" ht="13.5" customHeight="1" x14ac:dyDescent="0.25">
      <c r="A295" s="1165" t="s">
        <v>1019</v>
      </c>
      <c r="B295" s="1157">
        <v>1200</v>
      </c>
      <c r="C295" s="1161">
        <v>0.84</v>
      </c>
      <c r="D295" s="1157">
        <v>0.35</v>
      </c>
      <c r="E295" s="1157">
        <v>5</v>
      </c>
      <c r="F295" s="1157">
        <v>8</v>
      </c>
      <c r="G295" s="1157">
        <v>0.47</v>
      </c>
      <c r="H295" s="1157">
        <v>0.52</v>
      </c>
    </row>
    <row r="296" spans="1:8" s="1146" customFormat="1" ht="13.5" customHeight="1" x14ac:dyDescent="0.25">
      <c r="A296" s="1157" t="s">
        <v>1109</v>
      </c>
      <c r="B296" s="1157">
        <v>1800</v>
      </c>
      <c r="C296" s="1161">
        <v>0.84</v>
      </c>
      <c r="D296" s="1157">
        <v>0.7</v>
      </c>
      <c r="E296" s="1157">
        <v>5</v>
      </c>
      <c r="F296" s="1157">
        <v>8</v>
      </c>
      <c r="G296" s="1157">
        <v>0.85</v>
      </c>
      <c r="H296" s="1157">
        <v>0.93</v>
      </c>
    </row>
    <row r="297" spans="1:8" s="1146" customFormat="1" ht="13.5" customHeight="1" x14ac:dyDescent="0.25">
      <c r="A297" s="1157" t="s">
        <v>1022</v>
      </c>
      <c r="B297" s="1157">
        <v>1600</v>
      </c>
      <c r="C297" s="1161">
        <v>0.84</v>
      </c>
      <c r="D297" s="1157">
        <v>0.57999999999999996</v>
      </c>
      <c r="E297" s="1157">
        <v>5</v>
      </c>
      <c r="F297" s="1157">
        <v>8</v>
      </c>
      <c r="G297" s="1157">
        <v>0.72</v>
      </c>
      <c r="H297" s="1157">
        <v>0.78</v>
      </c>
    </row>
    <row r="298" spans="1:8" s="1146" customFormat="1" ht="13.5" customHeight="1" x14ac:dyDescent="0.25">
      <c r="A298" s="1165" t="s">
        <v>1019</v>
      </c>
      <c r="B298" s="1157">
        <v>1400</v>
      </c>
      <c r="C298" s="1161">
        <v>0.84</v>
      </c>
      <c r="D298" s="1157">
        <v>0.47</v>
      </c>
      <c r="E298" s="1157">
        <v>5</v>
      </c>
      <c r="F298" s="1157">
        <v>8</v>
      </c>
      <c r="G298" s="1157">
        <v>0.59</v>
      </c>
      <c r="H298" s="1157">
        <v>0.65</v>
      </c>
    </row>
    <row r="299" spans="1:8" s="1146" customFormat="1" ht="13.5" customHeight="1" x14ac:dyDescent="0.25">
      <c r="A299" s="1165" t="s">
        <v>1019</v>
      </c>
      <c r="B299" s="1157">
        <v>1200</v>
      </c>
      <c r="C299" s="1161">
        <v>0.84</v>
      </c>
      <c r="D299" s="1157">
        <v>0.35</v>
      </c>
      <c r="E299" s="1157">
        <v>5</v>
      </c>
      <c r="F299" s="1157">
        <v>8</v>
      </c>
      <c r="G299" s="1157">
        <v>0.48</v>
      </c>
      <c r="H299" s="1157">
        <v>0.54</v>
      </c>
    </row>
    <row r="300" spans="1:8" s="1146" customFormat="1" ht="13.5" customHeight="1" x14ac:dyDescent="0.25">
      <c r="A300" s="1165" t="s">
        <v>1019</v>
      </c>
      <c r="B300" s="1157">
        <v>1000</v>
      </c>
      <c r="C300" s="1161">
        <v>0.84</v>
      </c>
      <c r="D300" s="1157">
        <v>0.28999999999999998</v>
      </c>
      <c r="E300" s="1157">
        <v>5</v>
      </c>
      <c r="F300" s="1157">
        <v>8</v>
      </c>
      <c r="G300" s="1157">
        <v>0.38</v>
      </c>
      <c r="H300" s="1157">
        <v>0.44</v>
      </c>
    </row>
    <row r="301" spans="1:8" s="1146" customFormat="1" ht="13.5" customHeight="1" x14ac:dyDescent="0.25">
      <c r="A301" s="1157" t="s">
        <v>1110</v>
      </c>
      <c r="B301" s="1157">
        <v>1400</v>
      </c>
      <c r="C301" s="1161">
        <v>0.84</v>
      </c>
      <c r="D301" s="1157">
        <v>0.47</v>
      </c>
      <c r="E301" s="1157">
        <v>5</v>
      </c>
      <c r="F301" s="1157">
        <v>8</v>
      </c>
      <c r="G301" s="1157">
        <v>0.52</v>
      </c>
      <c r="H301" s="1157">
        <v>0.57999999999999996</v>
      </c>
    </row>
    <row r="302" spans="1:8" s="1146" customFormat="1" ht="13.5" customHeight="1" x14ac:dyDescent="0.25">
      <c r="A302" s="1157" t="s">
        <v>1022</v>
      </c>
      <c r="B302" s="1157">
        <v>1200</v>
      </c>
      <c r="C302" s="1161">
        <v>0.84</v>
      </c>
      <c r="D302" s="1157">
        <v>0.35</v>
      </c>
      <c r="E302" s="1157">
        <v>5</v>
      </c>
      <c r="F302" s="1157">
        <v>8</v>
      </c>
      <c r="G302" s="1157">
        <v>0.41</v>
      </c>
      <c r="H302" s="1157">
        <v>0.47</v>
      </c>
    </row>
    <row r="303" spans="1:8" s="1146" customFormat="1" ht="13.5" customHeight="1" x14ac:dyDescent="0.25">
      <c r="A303" s="1165" t="s">
        <v>1019</v>
      </c>
      <c r="B303" s="1157">
        <v>1000</v>
      </c>
      <c r="C303" s="1161">
        <v>0.84</v>
      </c>
      <c r="D303" s="1157">
        <v>0.24</v>
      </c>
      <c r="E303" s="1157">
        <v>5</v>
      </c>
      <c r="F303" s="1157">
        <v>8</v>
      </c>
      <c r="G303" s="1157">
        <v>0.3</v>
      </c>
      <c r="H303" s="1157">
        <v>0.35</v>
      </c>
    </row>
    <row r="304" spans="1:8" s="1146" customFormat="1" ht="13.5" customHeight="1" x14ac:dyDescent="0.25">
      <c r="A304" s="1157" t="s">
        <v>1111</v>
      </c>
      <c r="B304" s="1164">
        <v>800</v>
      </c>
      <c r="C304" s="1161">
        <v>0.84</v>
      </c>
      <c r="D304" s="1157">
        <v>0.21</v>
      </c>
      <c r="E304" s="1157">
        <v>8</v>
      </c>
      <c r="F304" s="1157">
        <v>13</v>
      </c>
      <c r="G304" s="1157">
        <v>0.23</v>
      </c>
      <c r="H304" s="1157">
        <v>0.26</v>
      </c>
    </row>
    <row r="305" spans="1:8" s="1146" customFormat="1" ht="13.5" customHeight="1" x14ac:dyDescent="0.25">
      <c r="A305" s="1165" t="s">
        <v>1019</v>
      </c>
      <c r="B305" s="1157">
        <v>600</v>
      </c>
      <c r="C305" s="1161">
        <v>0.84</v>
      </c>
      <c r="D305" s="1157">
        <v>0.14000000000000001</v>
      </c>
      <c r="E305" s="1157">
        <v>8</v>
      </c>
      <c r="F305" s="1157">
        <v>13</v>
      </c>
      <c r="G305" s="1157">
        <v>0.16</v>
      </c>
      <c r="H305" s="1157">
        <v>0.17</v>
      </c>
    </row>
    <row r="306" spans="1:8" s="1146" customFormat="1" ht="13.5" customHeight="1" x14ac:dyDescent="0.25">
      <c r="A306" s="1165" t="s">
        <v>1019</v>
      </c>
      <c r="B306" s="1157">
        <v>400</v>
      </c>
      <c r="C306" s="1161">
        <v>0.84</v>
      </c>
      <c r="D306" s="1157">
        <v>0.09</v>
      </c>
      <c r="E306" s="1157">
        <v>8</v>
      </c>
      <c r="F306" s="1157">
        <v>13</v>
      </c>
      <c r="G306" s="1157">
        <v>0.11</v>
      </c>
      <c r="H306" s="1157">
        <v>0.13</v>
      </c>
    </row>
    <row r="307" spans="1:8" s="1146" customFormat="1" ht="13.5" customHeight="1" x14ac:dyDescent="0.25">
      <c r="A307" s="1165" t="s">
        <v>1019</v>
      </c>
      <c r="B307" s="1164">
        <v>300</v>
      </c>
      <c r="C307" s="1161">
        <v>0.84</v>
      </c>
      <c r="D307" s="1157">
        <v>0.08</v>
      </c>
      <c r="E307" s="1157">
        <v>8</v>
      </c>
      <c r="F307" s="1157">
        <v>13</v>
      </c>
      <c r="G307" s="1157">
        <v>0.09</v>
      </c>
      <c r="H307" s="1157">
        <v>0.11</v>
      </c>
    </row>
    <row r="308" spans="1:8" s="1146" customFormat="1" ht="13.5" customHeight="1" x14ac:dyDescent="0.25">
      <c r="A308" s="1859" t="s">
        <v>1112</v>
      </c>
      <c r="B308" s="1859"/>
      <c r="C308" s="1859"/>
      <c r="D308" s="1859"/>
      <c r="E308" s="1859"/>
      <c r="F308" s="1859"/>
      <c r="G308" s="1859"/>
      <c r="H308" s="1859"/>
    </row>
    <row r="309" spans="1:8" s="1146" customFormat="1" ht="13.5" customHeight="1" x14ac:dyDescent="0.25">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25">
      <c r="A310" s="1163"/>
      <c r="B310" s="1163"/>
      <c r="C310" s="1163"/>
      <c r="D310" s="1163"/>
      <c r="E310" s="1163"/>
      <c r="F310" s="1163"/>
      <c r="G310" s="1163"/>
      <c r="H310" s="1163"/>
    </row>
    <row r="311" spans="1:8" s="1146" customFormat="1" ht="13.5" customHeight="1" x14ac:dyDescent="0.25">
      <c r="A311" s="1165" t="s">
        <v>1019</v>
      </c>
      <c r="B311" s="1164">
        <v>500</v>
      </c>
      <c r="C311" s="1161">
        <v>1.06</v>
      </c>
      <c r="D311" s="1157">
        <v>0.125</v>
      </c>
      <c r="E311" s="1157">
        <v>4</v>
      </c>
      <c r="F311" s="1157">
        <v>8</v>
      </c>
      <c r="G311" s="1157">
        <v>0.14000000000000001</v>
      </c>
      <c r="H311" s="1157">
        <v>0.16</v>
      </c>
    </row>
    <row r="312" spans="1:8" s="1146" customFormat="1" ht="13.5" customHeight="1" x14ac:dyDescent="0.25">
      <c r="A312" s="1165" t="s">
        <v>1019</v>
      </c>
      <c r="B312" s="1157">
        <v>400</v>
      </c>
      <c r="C312" s="1161">
        <v>1.06</v>
      </c>
      <c r="D312" s="1157">
        <v>0.105</v>
      </c>
      <c r="E312" s="1157">
        <v>4</v>
      </c>
      <c r="F312" s="1157">
        <v>8</v>
      </c>
      <c r="G312" s="1157">
        <v>0.12</v>
      </c>
      <c r="H312" s="1157">
        <v>0.13500000000000001</v>
      </c>
    </row>
    <row r="313" spans="1:8" s="1146" customFormat="1" ht="13.5" customHeight="1" x14ac:dyDescent="0.25">
      <c r="A313" s="1165" t="s">
        <v>1019</v>
      </c>
      <c r="B313" s="1164">
        <v>300</v>
      </c>
      <c r="C313" s="1161">
        <v>1.06</v>
      </c>
      <c r="D313" s="1157">
        <v>8.5000000000000006E-2</v>
      </c>
      <c r="E313" s="1157">
        <v>4</v>
      </c>
      <c r="F313" s="1157">
        <v>8</v>
      </c>
      <c r="G313" s="1157">
        <v>0.09</v>
      </c>
      <c r="H313" s="1157">
        <v>0.11</v>
      </c>
    </row>
    <row r="314" spans="1:8" s="1146" customFormat="1" ht="13.5" customHeight="1" x14ac:dyDescent="0.25">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25">
      <c r="A315" s="1165" t="s">
        <v>1019</v>
      </c>
      <c r="B315" s="1164">
        <v>150</v>
      </c>
      <c r="C315" s="1161">
        <v>1.06</v>
      </c>
      <c r="D315" s="1157">
        <v>5.5E-2</v>
      </c>
      <c r="E315" s="1157">
        <v>4</v>
      </c>
      <c r="F315" s="1157">
        <v>8</v>
      </c>
      <c r="G315" s="1157">
        <v>5.7000000000000002E-2</v>
      </c>
      <c r="H315" s="1157">
        <v>0.06</v>
      </c>
    </row>
    <row r="316" spans="1:8" s="1146" customFormat="1" ht="13.5" customHeight="1" x14ac:dyDescent="0.25">
      <c r="A316" s="1159" t="s">
        <v>1114</v>
      </c>
      <c r="B316" s="1157">
        <v>1000</v>
      </c>
      <c r="C316" s="1161">
        <v>0.84</v>
      </c>
      <c r="D316" s="1157">
        <v>0.28999999999999998</v>
      </c>
      <c r="E316" s="1157">
        <v>10</v>
      </c>
      <c r="F316" s="1157">
        <v>15</v>
      </c>
      <c r="G316" s="1157">
        <v>0.41</v>
      </c>
      <c r="H316" s="1157">
        <v>0.47</v>
      </c>
    </row>
    <row r="317" spans="1:8" s="1146" customFormat="1" ht="13.5" customHeight="1" x14ac:dyDescent="0.25">
      <c r="A317" s="1157" t="s">
        <v>1022</v>
      </c>
      <c r="B317" s="1164">
        <v>800</v>
      </c>
      <c r="C317" s="1161">
        <v>0.84</v>
      </c>
      <c r="D317" s="1157">
        <v>0.21</v>
      </c>
      <c r="E317" s="1157">
        <v>10</v>
      </c>
      <c r="F317" s="1157">
        <v>15</v>
      </c>
      <c r="G317" s="1157">
        <v>0.33</v>
      </c>
      <c r="H317" s="1157">
        <v>0.37</v>
      </c>
    </row>
    <row r="318" spans="1:8" s="1146" customFormat="1" ht="13.5" customHeight="1" x14ac:dyDescent="0.25">
      <c r="A318" s="1165" t="s">
        <v>1019</v>
      </c>
      <c r="B318" s="1157">
        <v>600</v>
      </c>
      <c r="C318" s="1161">
        <v>0.84</v>
      </c>
      <c r="D318" s="1157">
        <v>0.14000000000000001</v>
      </c>
      <c r="E318" s="1157">
        <v>8</v>
      </c>
      <c r="F318" s="1157">
        <v>12</v>
      </c>
      <c r="G318" s="1157">
        <v>0.22</v>
      </c>
      <c r="H318" s="1157">
        <v>0.26</v>
      </c>
    </row>
    <row r="319" spans="1:8" s="1146" customFormat="1" ht="13.5" customHeight="1" x14ac:dyDescent="0.25">
      <c r="A319" s="1165" t="s">
        <v>1019</v>
      </c>
      <c r="B319" s="1157">
        <v>400</v>
      </c>
      <c r="C319" s="1161">
        <v>0.84</v>
      </c>
      <c r="D319" s="1157">
        <v>0.11</v>
      </c>
      <c r="E319" s="1157">
        <v>8</v>
      </c>
      <c r="F319" s="1157">
        <v>12</v>
      </c>
      <c r="G319" s="1157">
        <v>0.14000000000000001</v>
      </c>
      <c r="H319" s="1157">
        <v>0.15</v>
      </c>
    </row>
    <row r="320" spans="1:8" s="1146" customFormat="1" ht="13.5" customHeight="1" x14ac:dyDescent="0.25">
      <c r="A320" s="1157" t="s">
        <v>1114</v>
      </c>
      <c r="B320" s="1164">
        <v>300</v>
      </c>
      <c r="C320" s="1161">
        <v>0.84</v>
      </c>
      <c r="D320" s="1157">
        <v>0.08</v>
      </c>
      <c r="E320" s="1157">
        <v>8</v>
      </c>
      <c r="F320" s="1157">
        <v>12</v>
      </c>
      <c r="G320" s="1157">
        <v>0.11</v>
      </c>
      <c r="H320" s="1157">
        <v>0.13</v>
      </c>
    </row>
    <row r="321" spans="1:8" s="1146" customFormat="1" ht="13.5" customHeight="1" x14ac:dyDescent="0.25">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25">
      <c r="A322" s="1157" t="s">
        <v>1022</v>
      </c>
      <c r="B322" s="1157">
        <v>1000</v>
      </c>
      <c r="C322" s="1161">
        <v>0.84</v>
      </c>
      <c r="D322" s="1157">
        <v>0.23</v>
      </c>
      <c r="E322" s="1157">
        <v>15</v>
      </c>
      <c r="F322" s="1157">
        <v>22</v>
      </c>
      <c r="G322" s="1157">
        <v>0.44</v>
      </c>
      <c r="H322" s="1157">
        <v>0.5</v>
      </c>
    </row>
    <row r="323" spans="1:8" s="1146" customFormat="1" ht="13.5" customHeight="1" x14ac:dyDescent="0.25">
      <c r="A323" s="1165" t="s">
        <v>1019</v>
      </c>
      <c r="B323" s="1164">
        <v>800</v>
      </c>
      <c r="C323" s="1161">
        <v>0.84</v>
      </c>
      <c r="D323" s="1157">
        <v>0.17</v>
      </c>
      <c r="E323" s="1157">
        <v>15</v>
      </c>
      <c r="F323" s="1157">
        <v>22</v>
      </c>
      <c r="G323" s="1157">
        <v>0.35</v>
      </c>
      <c r="H323" s="1157">
        <v>0.41</v>
      </c>
    </row>
    <row r="324" spans="1:8" s="1146" customFormat="1" ht="13.5" customHeight="1" x14ac:dyDescent="0.25">
      <c r="A324" s="1868" t="s">
        <v>1116</v>
      </c>
      <c r="B324" s="1868"/>
      <c r="C324" s="1868"/>
      <c r="D324" s="1868"/>
      <c r="E324" s="1868"/>
      <c r="F324" s="1868"/>
      <c r="G324" s="1868"/>
      <c r="H324" s="1868"/>
    </row>
    <row r="325" spans="1:8" s="1146" customFormat="1" ht="13.5" customHeight="1" x14ac:dyDescent="0.25">
      <c r="A325" s="1157" t="s">
        <v>1117</v>
      </c>
      <c r="B325" s="1157">
        <v>1800</v>
      </c>
      <c r="C325" s="1161">
        <v>0.88</v>
      </c>
      <c r="D325" s="1157">
        <v>0.56000000000000005</v>
      </c>
      <c r="E325" s="1157">
        <v>1</v>
      </c>
      <c r="F325" s="1157">
        <v>2</v>
      </c>
      <c r="G325" s="1157">
        <v>0.7</v>
      </c>
      <c r="H325" s="1157">
        <v>0.81</v>
      </c>
    </row>
    <row r="326" spans="1:8" s="1146" customFormat="1" ht="13.5" customHeight="1" x14ac:dyDescent="0.25">
      <c r="A326" s="1157" t="s">
        <v>1118</v>
      </c>
      <c r="B326" s="1157">
        <v>1700</v>
      </c>
      <c r="C326" s="1161">
        <v>0.88</v>
      </c>
      <c r="D326" s="1157">
        <v>0.52</v>
      </c>
      <c r="E326" s="1157">
        <v>1.5</v>
      </c>
      <c r="F326" s="1157">
        <v>3</v>
      </c>
      <c r="G326" s="1157">
        <v>0.64</v>
      </c>
      <c r="H326" s="1157">
        <v>0.76</v>
      </c>
    </row>
    <row r="327" spans="1:8" s="1146" customFormat="1" ht="13.5" customHeight="1" x14ac:dyDescent="0.25">
      <c r="A327" s="1157" t="s">
        <v>1119</v>
      </c>
      <c r="B327" s="1157">
        <v>1600</v>
      </c>
      <c r="C327" s="1161">
        <v>0.88</v>
      </c>
      <c r="D327" s="1157">
        <v>0.47</v>
      </c>
      <c r="E327" s="1157">
        <v>2</v>
      </c>
      <c r="F327" s="1157">
        <v>4</v>
      </c>
      <c r="G327" s="1157">
        <v>0.57999999999999996</v>
      </c>
      <c r="H327" s="1157">
        <v>0.7</v>
      </c>
    </row>
    <row r="328" spans="1:8" s="1146" customFormat="1" ht="13.5" customHeight="1" x14ac:dyDescent="0.25">
      <c r="A328" s="1157" t="s">
        <v>1120</v>
      </c>
      <c r="B328" s="1157">
        <v>1800</v>
      </c>
      <c r="C328" s="1161">
        <v>0.88</v>
      </c>
      <c r="D328" s="1157">
        <v>0.7</v>
      </c>
      <c r="E328" s="1157">
        <v>2</v>
      </c>
      <c r="F328" s="1157">
        <v>4</v>
      </c>
      <c r="G328" s="1157">
        <v>0.76</v>
      </c>
      <c r="H328" s="1157">
        <v>0.87</v>
      </c>
    </row>
    <row r="329" spans="1:8" s="1146" customFormat="1" ht="13.5" customHeight="1" x14ac:dyDescent="0.25">
      <c r="A329" s="1157" t="s">
        <v>1121</v>
      </c>
      <c r="B329" s="1157">
        <v>1200</v>
      </c>
      <c r="C329" s="1161">
        <v>0.88</v>
      </c>
      <c r="D329" s="1157">
        <v>0.35</v>
      </c>
      <c r="E329" s="1157">
        <v>2</v>
      </c>
      <c r="F329" s="1157">
        <v>4</v>
      </c>
      <c r="G329" s="1157">
        <v>0.47</v>
      </c>
      <c r="H329" s="1157">
        <v>0.52</v>
      </c>
    </row>
    <row r="330" spans="1:8" s="1146" customFormat="1" ht="13.5" customHeight="1" x14ac:dyDescent="0.25">
      <c r="A330" s="1157" t="s">
        <v>1022</v>
      </c>
      <c r="B330" s="1157">
        <v>1000</v>
      </c>
      <c r="C330" s="1161">
        <v>0.88</v>
      </c>
      <c r="D330" s="1157">
        <v>0.28999999999999998</v>
      </c>
      <c r="E330" s="1157">
        <v>2</v>
      </c>
      <c r="F330" s="1157">
        <v>4</v>
      </c>
      <c r="G330" s="1157">
        <v>0.41</v>
      </c>
      <c r="H330" s="1157">
        <v>0.47</v>
      </c>
    </row>
    <row r="331" spans="1:8" s="1146" customFormat="1" ht="13.5" customHeight="1" x14ac:dyDescent="0.25">
      <c r="A331" s="1157" t="s">
        <v>1122</v>
      </c>
      <c r="B331" s="1157">
        <v>1500</v>
      </c>
      <c r="C331" s="1161">
        <v>0.88</v>
      </c>
      <c r="D331" s="1157">
        <v>0.52</v>
      </c>
      <c r="E331" s="1157">
        <v>1.5</v>
      </c>
      <c r="F331" s="1157">
        <v>3</v>
      </c>
      <c r="G331" s="1157">
        <v>0.64</v>
      </c>
      <c r="H331" s="1157">
        <v>0.7</v>
      </c>
    </row>
    <row r="332" spans="1:8" s="1146" customFormat="1" ht="13.5" customHeight="1" x14ac:dyDescent="0.25">
      <c r="A332" s="1868" t="s">
        <v>1123</v>
      </c>
      <c r="B332" s="1868"/>
      <c r="C332" s="1868"/>
      <c r="D332" s="1868"/>
      <c r="E332" s="1868"/>
      <c r="F332" s="1868"/>
      <c r="G332" s="1868"/>
      <c r="H332" s="1868"/>
    </row>
    <row r="333" spans="1:8" s="1146" customFormat="1" ht="13.5" customHeight="1" x14ac:dyDescent="0.25">
      <c r="A333" s="1157" t="s">
        <v>1124</v>
      </c>
      <c r="B333" s="1157">
        <v>1600</v>
      </c>
      <c r="C333" s="1161">
        <v>0.88</v>
      </c>
      <c r="D333" s="1157">
        <v>0.47</v>
      </c>
      <c r="E333" s="1157">
        <v>1</v>
      </c>
      <c r="F333" s="1157">
        <v>2</v>
      </c>
      <c r="G333" s="1157">
        <v>0.57999999999999996</v>
      </c>
      <c r="H333" s="1157">
        <v>0.64</v>
      </c>
    </row>
    <row r="334" spans="1:8" s="1146" customFormat="1" ht="13.5" customHeight="1" x14ac:dyDescent="0.25">
      <c r="A334" s="1157" t="s">
        <v>1125</v>
      </c>
      <c r="B334" s="1157">
        <v>1400</v>
      </c>
      <c r="C334" s="1161">
        <v>0.88</v>
      </c>
      <c r="D334" s="1157">
        <v>0.41</v>
      </c>
      <c r="E334" s="1157">
        <v>1</v>
      </c>
      <c r="F334" s="1157">
        <v>2</v>
      </c>
      <c r="G334" s="1157">
        <v>0.52</v>
      </c>
      <c r="H334" s="1157">
        <v>0.57999999999999996</v>
      </c>
    </row>
    <row r="335" spans="1:8" s="1146" customFormat="1" ht="13.5" customHeight="1" x14ac:dyDescent="0.25">
      <c r="A335" s="1157" t="s">
        <v>1126</v>
      </c>
      <c r="B335" s="1157">
        <v>1200</v>
      </c>
      <c r="C335" s="1161">
        <v>0.88</v>
      </c>
      <c r="D335" s="1157">
        <v>0.35</v>
      </c>
      <c r="E335" s="1157">
        <v>1</v>
      </c>
      <c r="F335" s="1157">
        <v>2</v>
      </c>
      <c r="G335" s="1157">
        <v>0.47</v>
      </c>
      <c r="H335" s="1157">
        <v>0.52</v>
      </c>
    </row>
    <row r="336" spans="1:8" s="1146" customFormat="1" ht="13.5" customHeight="1" x14ac:dyDescent="0.25">
      <c r="A336" s="1157" t="s">
        <v>1127</v>
      </c>
      <c r="B336" s="1157">
        <v>1500</v>
      </c>
      <c r="C336" s="1161">
        <v>0.88</v>
      </c>
      <c r="D336" s="1157">
        <v>0.64</v>
      </c>
      <c r="E336" s="1157">
        <v>2</v>
      </c>
      <c r="F336" s="1157">
        <v>4</v>
      </c>
      <c r="G336" s="1157">
        <v>0.7</v>
      </c>
      <c r="H336" s="1157">
        <v>0.81</v>
      </c>
    </row>
    <row r="337" spans="1:10" s="1146" customFormat="1" ht="13.5" customHeight="1" x14ac:dyDescent="0.25">
      <c r="A337" s="1157" t="s">
        <v>1128</v>
      </c>
      <c r="B337" s="1858">
        <v>1400</v>
      </c>
      <c r="C337" s="1861">
        <v>0.88</v>
      </c>
      <c r="D337" s="1858">
        <v>0.52</v>
      </c>
      <c r="E337" s="1858">
        <v>2</v>
      </c>
      <c r="F337" s="1858">
        <v>4</v>
      </c>
      <c r="G337" s="1858">
        <v>0.64</v>
      </c>
      <c r="H337" s="1858">
        <v>0.76</v>
      </c>
    </row>
    <row r="338" spans="1:10" s="1146" customFormat="1" ht="13.5" customHeight="1" x14ac:dyDescent="0.25">
      <c r="A338" s="1157" t="s">
        <v>1129</v>
      </c>
      <c r="B338" s="1858"/>
      <c r="C338" s="1861"/>
      <c r="D338" s="1858"/>
      <c r="E338" s="1858"/>
      <c r="F338" s="1858"/>
      <c r="G338" s="1858"/>
      <c r="H338" s="1858"/>
    </row>
    <row r="339" spans="1:10" s="1146" customFormat="1" ht="13.5" customHeight="1" x14ac:dyDescent="0.25">
      <c r="A339" s="1859" t="s">
        <v>1130</v>
      </c>
      <c r="B339" s="1859"/>
      <c r="C339" s="1859"/>
      <c r="D339" s="1859"/>
      <c r="E339" s="1859"/>
      <c r="F339" s="1859"/>
      <c r="G339" s="1859"/>
      <c r="H339" s="1859"/>
    </row>
    <row r="340" spans="1:10" s="1146" customFormat="1" ht="13.5" customHeight="1" x14ac:dyDescent="0.25">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25">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25">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25">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25">
      <c r="A344" s="1157" t="s">
        <v>1135</v>
      </c>
      <c r="B344" s="1157">
        <v>600</v>
      </c>
      <c r="C344" s="1161">
        <v>2.2999999999999998</v>
      </c>
      <c r="D344" s="1157">
        <v>0.12</v>
      </c>
      <c r="E344" s="1157">
        <v>10</v>
      </c>
      <c r="F344" s="1157">
        <v>13</v>
      </c>
      <c r="G344" s="1157">
        <v>0.15</v>
      </c>
      <c r="H344" s="1157">
        <v>0.18</v>
      </c>
    </row>
    <row r="345" spans="1:10" s="1146" customFormat="1" ht="13.5" customHeight="1" x14ac:dyDescent="0.25">
      <c r="A345" s="1157" t="s">
        <v>1136</v>
      </c>
      <c r="B345" s="1157">
        <v>1000</v>
      </c>
      <c r="C345" s="1161">
        <v>2.2999999999999998</v>
      </c>
      <c r="D345" s="1157">
        <v>0.18</v>
      </c>
      <c r="E345" s="1157">
        <v>5</v>
      </c>
      <c r="F345" s="1157">
        <v>10</v>
      </c>
      <c r="G345" s="1157">
        <v>0.21</v>
      </c>
      <c r="H345" s="1157">
        <v>0.23</v>
      </c>
    </row>
    <row r="346" spans="1:10" s="1146" customFormat="1" ht="13.5" customHeight="1" x14ac:dyDescent="0.25">
      <c r="A346" s="1157" t="s">
        <v>1137</v>
      </c>
      <c r="B346" s="1157">
        <v>650</v>
      </c>
      <c r="C346" s="1161">
        <v>2.2999999999999998</v>
      </c>
      <c r="D346" s="1157">
        <v>0.13</v>
      </c>
      <c r="E346" s="1157">
        <v>6</v>
      </c>
      <c r="F346" s="1157">
        <v>12</v>
      </c>
      <c r="G346" s="1157">
        <v>0.15</v>
      </c>
      <c r="H346" s="1157">
        <v>0.18</v>
      </c>
    </row>
    <row r="347" spans="1:10" s="1146" customFormat="1" ht="13.5" customHeight="1" x14ac:dyDescent="0.25">
      <c r="A347" s="1860" t="s">
        <v>1138</v>
      </c>
      <c r="B347" s="1860"/>
      <c r="C347" s="1860"/>
      <c r="D347" s="1860"/>
      <c r="E347" s="1860"/>
      <c r="F347" s="1860"/>
      <c r="G347" s="1860"/>
      <c r="H347" s="1860"/>
      <c r="J347" s="1146">
        <v>4.1000000000000002E-2</v>
      </c>
    </row>
    <row r="348" spans="1:10" s="1146" customFormat="1" ht="13.5" customHeight="1" x14ac:dyDescent="0.25">
      <c r="A348" s="1859" t="s">
        <v>1139</v>
      </c>
      <c r="B348" s="1859"/>
      <c r="C348" s="1859"/>
      <c r="D348" s="1859"/>
      <c r="E348" s="1859"/>
      <c r="F348" s="1859"/>
      <c r="G348" s="1859"/>
      <c r="H348" s="1859"/>
    </row>
    <row r="349" spans="1:10" s="1146" customFormat="1" ht="13.5" customHeight="1" x14ac:dyDescent="0.25">
      <c r="A349" s="1166" t="s">
        <v>1140</v>
      </c>
      <c r="B349" s="1157">
        <v>2500</v>
      </c>
      <c r="C349" s="1157">
        <v>0.84</v>
      </c>
      <c r="D349" s="1157">
        <v>1.69</v>
      </c>
      <c r="E349" s="1157">
        <v>2</v>
      </c>
      <c r="F349" s="1157">
        <v>3</v>
      </c>
      <c r="G349" s="1157">
        <v>1.92</v>
      </c>
      <c r="H349" s="1157">
        <v>2.04</v>
      </c>
    </row>
    <row r="350" spans="1:10" s="1146" customFormat="1" ht="13.5" customHeight="1" x14ac:dyDescent="0.25">
      <c r="A350" s="1157" t="s">
        <v>1141</v>
      </c>
      <c r="B350" s="1157">
        <v>2400</v>
      </c>
      <c r="C350" s="1157">
        <v>0.84</v>
      </c>
      <c r="D350" s="1157">
        <v>1.51</v>
      </c>
      <c r="E350" s="1157">
        <v>2</v>
      </c>
      <c r="F350" s="1157">
        <v>3</v>
      </c>
      <c r="G350" s="1157">
        <v>1.74</v>
      </c>
      <c r="H350" s="1157">
        <v>1.86</v>
      </c>
    </row>
    <row r="351" spans="1:10" s="1146" customFormat="1" ht="13.5" customHeight="1" x14ac:dyDescent="0.25">
      <c r="A351" s="1157" t="s">
        <v>1142</v>
      </c>
      <c r="B351" s="1157">
        <v>1800</v>
      </c>
      <c r="C351" s="1157">
        <v>0.84</v>
      </c>
      <c r="D351" s="1157">
        <v>0.57999999999999996</v>
      </c>
      <c r="E351" s="1157">
        <v>2</v>
      </c>
      <c r="F351" s="1157">
        <v>4</v>
      </c>
      <c r="G351" s="1157">
        <v>0.76</v>
      </c>
      <c r="H351" s="1157">
        <v>0.93</v>
      </c>
    </row>
    <row r="352" spans="1:10" s="1146" customFormat="1" ht="13.5" customHeight="1" x14ac:dyDescent="0.25">
      <c r="A352" s="1157" t="s">
        <v>1143</v>
      </c>
      <c r="B352" s="1157">
        <v>1700</v>
      </c>
      <c r="C352" s="1157">
        <v>0.84</v>
      </c>
      <c r="D352" s="1157">
        <v>0.52</v>
      </c>
      <c r="E352" s="1157">
        <v>2</v>
      </c>
      <c r="F352" s="1157">
        <v>4</v>
      </c>
      <c r="G352" s="1157">
        <v>0.7</v>
      </c>
      <c r="H352" s="1157">
        <v>0.87</v>
      </c>
    </row>
    <row r="353" spans="1:8" s="1146" customFormat="1" ht="13.5" customHeight="1" x14ac:dyDescent="0.25">
      <c r="A353" s="1157" t="s">
        <v>1144</v>
      </c>
      <c r="B353" s="1157">
        <v>1600</v>
      </c>
      <c r="C353" s="1157">
        <v>0.84</v>
      </c>
      <c r="D353" s="1157">
        <v>0.47</v>
      </c>
      <c r="E353" s="1157">
        <v>2</v>
      </c>
      <c r="F353" s="1157">
        <v>4</v>
      </c>
      <c r="G353" s="1157">
        <v>0.7</v>
      </c>
      <c r="H353" s="1157">
        <v>0.81</v>
      </c>
    </row>
    <row r="354" spans="1:8" s="1146" customFormat="1" ht="13.5" customHeight="1" x14ac:dyDescent="0.25">
      <c r="A354" s="1859" t="s">
        <v>1145</v>
      </c>
      <c r="B354" s="1859"/>
      <c r="C354" s="1859"/>
      <c r="D354" s="1859"/>
      <c r="E354" s="1859"/>
      <c r="F354" s="1859"/>
      <c r="G354" s="1859"/>
      <c r="H354" s="1859"/>
    </row>
    <row r="355" spans="1:8" s="1146" customFormat="1" ht="13.5" customHeight="1" x14ac:dyDescent="0.25">
      <c r="A355" s="1157" t="s">
        <v>1146</v>
      </c>
      <c r="B355" s="1157">
        <v>2800</v>
      </c>
      <c r="C355" s="1157">
        <v>0.88</v>
      </c>
      <c r="D355" s="1157">
        <v>3.49</v>
      </c>
      <c r="E355" s="1157">
        <v>0</v>
      </c>
      <c r="F355" s="1157">
        <v>0</v>
      </c>
      <c r="G355" s="1157">
        <v>3.49</v>
      </c>
      <c r="H355" s="1157">
        <v>3.49</v>
      </c>
    </row>
    <row r="356" spans="1:8" s="1146" customFormat="1" ht="13.5" customHeight="1" x14ac:dyDescent="0.25">
      <c r="A356" s="1157" t="s">
        <v>1147</v>
      </c>
      <c r="B356" s="1157">
        <v>2800</v>
      </c>
      <c r="C356" s="1157">
        <v>0.88</v>
      </c>
      <c r="D356" s="1157">
        <v>2.91</v>
      </c>
      <c r="E356" s="1157">
        <v>0</v>
      </c>
      <c r="F356" s="1157">
        <v>0</v>
      </c>
      <c r="G356" s="1157">
        <v>2.91</v>
      </c>
      <c r="H356" s="1157">
        <v>2.91</v>
      </c>
    </row>
    <row r="357" spans="1:8" s="1146" customFormat="1" ht="13.5" customHeight="1" x14ac:dyDescent="0.25">
      <c r="A357" s="1157" t="s">
        <v>1148</v>
      </c>
      <c r="B357" s="1157">
        <v>2000</v>
      </c>
      <c r="C357" s="1157">
        <v>0.88</v>
      </c>
      <c r="D357" s="1157">
        <v>0.93</v>
      </c>
      <c r="E357" s="1157">
        <v>2</v>
      </c>
      <c r="F357" s="1157">
        <v>3</v>
      </c>
      <c r="G357" s="1157">
        <v>1.1599999999999999</v>
      </c>
      <c r="H357" s="1157">
        <v>1.28</v>
      </c>
    </row>
    <row r="358" spans="1:8" s="1146" customFormat="1" ht="13.5" customHeight="1" x14ac:dyDescent="0.25">
      <c r="A358" s="1167" t="s">
        <v>1019</v>
      </c>
      <c r="B358" s="1157">
        <v>1800</v>
      </c>
      <c r="C358" s="1157">
        <v>0.88</v>
      </c>
      <c r="D358" s="1157">
        <v>0.7</v>
      </c>
      <c r="E358" s="1157">
        <v>2</v>
      </c>
      <c r="F358" s="1157">
        <v>3</v>
      </c>
      <c r="G358" s="1157">
        <v>0.93</v>
      </c>
      <c r="H358" s="1157">
        <v>1.05</v>
      </c>
    </row>
    <row r="359" spans="1:8" s="1146" customFormat="1" ht="13.5" customHeight="1" x14ac:dyDescent="0.25">
      <c r="A359" s="1157" t="s">
        <v>1148</v>
      </c>
      <c r="B359" s="1157">
        <v>1600</v>
      </c>
      <c r="C359" s="1157">
        <v>0.88</v>
      </c>
      <c r="D359" s="1157">
        <v>0.57999999999999996</v>
      </c>
      <c r="E359" s="1157">
        <v>2</v>
      </c>
      <c r="F359" s="1157">
        <v>3</v>
      </c>
      <c r="G359" s="1157">
        <v>0.73</v>
      </c>
      <c r="H359" s="1157">
        <v>0.81</v>
      </c>
    </row>
    <row r="360" spans="1:8" s="1146" customFormat="1" ht="13.5" customHeight="1" x14ac:dyDescent="0.25">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25">
      <c r="A361" s="1157" t="s">
        <v>1149</v>
      </c>
      <c r="B361" s="1157">
        <v>2000</v>
      </c>
      <c r="C361" s="1157">
        <v>0.88</v>
      </c>
      <c r="D361" s="1157">
        <v>0.76</v>
      </c>
      <c r="E361" s="1157">
        <v>3</v>
      </c>
      <c r="F361" s="1157">
        <v>5</v>
      </c>
      <c r="G361" s="1157">
        <v>0.93</v>
      </c>
      <c r="H361" s="1157">
        <v>1.05</v>
      </c>
    </row>
    <row r="362" spans="1:8" s="1146" customFormat="1" ht="13.5" customHeight="1" x14ac:dyDescent="0.25">
      <c r="A362" s="1167" t="s">
        <v>1019</v>
      </c>
      <c r="B362" s="1157">
        <v>1800</v>
      </c>
      <c r="C362" s="1157">
        <v>0.88</v>
      </c>
      <c r="D362" s="1157">
        <v>0.56000000000000005</v>
      </c>
      <c r="E362" s="1157">
        <v>3</v>
      </c>
      <c r="F362" s="1157">
        <v>5</v>
      </c>
      <c r="G362" s="1157">
        <v>0.7</v>
      </c>
      <c r="H362" s="1157">
        <v>0.81</v>
      </c>
    </row>
    <row r="363" spans="1:8" s="1146" customFormat="1" ht="13.5" customHeight="1" x14ac:dyDescent="0.25">
      <c r="A363" s="1167" t="s">
        <v>1019</v>
      </c>
      <c r="B363" s="1157">
        <v>1600</v>
      </c>
      <c r="C363" s="1157">
        <v>0.88</v>
      </c>
      <c r="D363" s="1157">
        <v>0.41</v>
      </c>
      <c r="E363" s="1157">
        <v>3</v>
      </c>
      <c r="F363" s="1157">
        <v>5</v>
      </c>
      <c r="G363" s="1157">
        <v>0.52</v>
      </c>
      <c r="H363" s="1157">
        <v>0.64</v>
      </c>
    </row>
    <row r="364" spans="1:8" s="1146" customFormat="1" ht="13.5" customHeight="1" x14ac:dyDescent="0.25">
      <c r="A364" s="1167" t="s">
        <v>1019</v>
      </c>
      <c r="B364" s="1157">
        <v>1400</v>
      </c>
      <c r="C364" s="1157">
        <v>0.88</v>
      </c>
      <c r="D364" s="1157">
        <v>0.33</v>
      </c>
      <c r="E364" s="1157">
        <v>3</v>
      </c>
      <c r="F364" s="1157">
        <v>5</v>
      </c>
      <c r="G364" s="1157">
        <v>0.43</v>
      </c>
      <c r="H364" s="1157">
        <v>0.52</v>
      </c>
    </row>
    <row r="365" spans="1:8" s="1146" customFormat="1" ht="13.5" customHeight="1" x14ac:dyDescent="0.25">
      <c r="A365" s="1167" t="s">
        <v>1019</v>
      </c>
      <c r="B365" s="1157">
        <v>1200</v>
      </c>
      <c r="C365" s="1157">
        <v>0.88</v>
      </c>
      <c r="D365" s="1157">
        <v>0.27</v>
      </c>
      <c r="E365" s="1157">
        <v>3</v>
      </c>
      <c r="F365" s="1157">
        <v>5</v>
      </c>
      <c r="G365" s="1157">
        <v>0.35</v>
      </c>
      <c r="H365" s="1157">
        <v>0.41</v>
      </c>
    </row>
    <row r="366" spans="1:8" s="1146" customFormat="1" ht="13.5" customHeight="1" x14ac:dyDescent="0.25">
      <c r="A366" s="1167" t="s">
        <v>1019</v>
      </c>
      <c r="B366" s="1157">
        <v>1000</v>
      </c>
      <c r="C366" s="1157">
        <v>0.88</v>
      </c>
      <c r="D366" s="1157">
        <v>0.21</v>
      </c>
      <c r="E366" s="1157">
        <v>3</v>
      </c>
      <c r="F366" s="1157">
        <v>5</v>
      </c>
      <c r="G366" s="1157">
        <v>0.24</v>
      </c>
      <c r="H366" s="1157">
        <v>0.28999999999999998</v>
      </c>
    </row>
    <row r="367" spans="1:8" s="1146" customFormat="1" ht="13.5" customHeight="1" x14ac:dyDescent="0.25">
      <c r="A367" s="1864" t="s">
        <v>1150</v>
      </c>
      <c r="B367" s="1864"/>
      <c r="C367" s="1864"/>
      <c r="D367" s="1864"/>
      <c r="E367" s="1864"/>
      <c r="F367" s="1864"/>
      <c r="G367" s="1864"/>
      <c r="H367" s="1864"/>
    </row>
    <row r="368" spans="1:8" s="1146" customFormat="1" ht="13.5" customHeight="1" x14ac:dyDescent="0.25">
      <c r="A368" s="1157" t="s">
        <v>1151</v>
      </c>
      <c r="B368" s="1157">
        <v>1800</v>
      </c>
      <c r="C368" s="1157">
        <v>0.84</v>
      </c>
      <c r="D368" s="1157">
        <v>0.35</v>
      </c>
      <c r="E368" s="1157">
        <v>2</v>
      </c>
      <c r="F368" s="1157">
        <v>3</v>
      </c>
      <c r="G368" s="1157">
        <v>0.47</v>
      </c>
      <c r="H368" s="1157">
        <v>0.52</v>
      </c>
    </row>
    <row r="369" spans="1:15" s="1146" customFormat="1" ht="13.5" customHeight="1" x14ac:dyDescent="0.25">
      <c r="A369" s="1157" t="s">
        <v>1022</v>
      </c>
      <c r="B369" s="1157">
        <v>1600</v>
      </c>
      <c r="C369" s="1157">
        <v>0.84</v>
      </c>
      <c r="D369" s="1157">
        <v>0.23</v>
      </c>
      <c r="E369" s="1157">
        <v>2</v>
      </c>
      <c r="F369" s="1157">
        <v>3</v>
      </c>
      <c r="G369" s="1157">
        <v>0.35</v>
      </c>
      <c r="H369" s="1157">
        <v>0.41</v>
      </c>
    </row>
    <row r="370" spans="1:15" ht="24" x14ac:dyDescent="0.25">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2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2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2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25">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25">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2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25">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2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2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25">
      <c r="A380" s="1859" t="s">
        <v>1157</v>
      </c>
      <c r="B380" s="1859"/>
      <c r="C380" s="1859"/>
      <c r="D380" s="1859"/>
      <c r="E380" s="1859"/>
      <c r="F380" s="1859"/>
      <c r="G380" s="1859"/>
      <c r="H380" s="1859"/>
      <c r="I380" s="1146"/>
      <c r="J380" s="1146"/>
      <c r="K380" s="1146"/>
      <c r="L380" s="1146"/>
      <c r="M380" s="1146"/>
      <c r="N380" s="1146"/>
      <c r="O380" s="1146"/>
    </row>
    <row r="381" spans="1:15" ht="24" x14ac:dyDescent="0.25">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2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2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2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2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25">
      <c r="A389" s="1168"/>
    </row>
    <row r="390" spans="1:15" x14ac:dyDescent="0.25">
      <c r="A390" s="1168" t="s">
        <v>1513</v>
      </c>
    </row>
    <row r="391" spans="1:15" x14ac:dyDescent="0.25">
      <c r="A391" s="1169"/>
      <c r="B391" s="95" t="s">
        <v>1504</v>
      </c>
      <c r="C391" s="95" t="s">
        <v>1505</v>
      </c>
      <c r="D391" s="95" t="s">
        <v>1506</v>
      </c>
      <c r="E391" s="95" t="s">
        <v>1507</v>
      </c>
    </row>
    <row r="392" spans="1:15" x14ac:dyDescent="0.25">
      <c r="A392" s="1169">
        <v>2000</v>
      </c>
      <c r="B392" s="95">
        <v>1.2</v>
      </c>
      <c r="C392" s="95">
        <v>1.8</v>
      </c>
      <c r="D392" s="95">
        <v>1.6</v>
      </c>
      <c r="E392" s="95">
        <v>0.35</v>
      </c>
    </row>
    <row r="393" spans="1:15" x14ac:dyDescent="0.25">
      <c r="A393" s="1169">
        <v>4000</v>
      </c>
      <c r="B393" s="95">
        <v>1.6</v>
      </c>
      <c r="C393" s="95">
        <v>2.5</v>
      </c>
      <c r="D393" s="95">
        <v>2.2000000000000002</v>
      </c>
      <c r="E393" s="95">
        <v>0.4</v>
      </c>
    </row>
    <row r="394" spans="1:15" x14ac:dyDescent="0.25">
      <c r="A394" s="1169">
        <v>6000</v>
      </c>
      <c r="B394" s="95">
        <v>2</v>
      </c>
      <c r="C394" s="95">
        <v>3.2</v>
      </c>
      <c r="D394" s="95">
        <v>2.8</v>
      </c>
      <c r="E394" s="95">
        <v>0.45</v>
      </c>
    </row>
    <row r="395" spans="1:15" x14ac:dyDescent="0.25">
      <c r="A395" s="1169">
        <v>8000</v>
      </c>
      <c r="B395" s="95">
        <v>2.4</v>
      </c>
      <c r="C395" s="95">
        <v>3.9</v>
      </c>
      <c r="D395" s="95">
        <v>3.4</v>
      </c>
      <c r="E395" s="95">
        <v>0.5</v>
      </c>
    </row>
    <row r="396" spans="1:15" x14ac:dyDescent="0.25">
      <c r="A396" s="1169">
        <v>10000</v>
      </c>
      <c r="B396" s="95">
        <v>2.8</v>
      </c>
      <c r="C396" s="95">
        <v>4.5999999999999996</v>
      </c>
      <c r="D396" s="95">
        <v>4</v>
      </c>
      <c r="E396" s="95">
        <v>0.55000000000000004</v>
      </c>
    </row>
    <row r="397" spans="1:15" x14ac:dyDescent="0.25">
      <c r="A397" s="1169">
        <v>12000</v>
      </c>
      <c r="B397" s="95">
        <v>3.2</v>
      </c>
      <c r="C397" s="95">
        <v>5.3</v>
      </c>
      <c r="D397" s="95">
        <v>4.5999999999999996</v>
      </c>
      <c r="E397" s="95">
        <v>0.6</v>
      </c>
    </row>
    <row r="398" spans="1:15" x14ac:dyDescent="0.25">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2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25">
      <c r="A400" s="1168" t="s">
        <v>1514</v>
      </c>
    </row>
    <row r="401" spans="1:5" x14ac:dyDescent="0.25">
      <c r="A401" s="1169"/>
      <c r="B401" s="95" t="s">
        <v>1504</v>
      </c>
      <c r="C401" s="95" t="s">
        <v>1505</v>
      </c>
      <c r="D401" s="95" t="s">
        <v>1506</v>
      </c>
      <c r="E401" s="95" t="s">
        <v>1507</v>
      </c>
    </row>
    <row r="402" spans="1:5" x14ac:dyDescent="0.25">
      <c r="A402" s="1169">
        <v>2000</v>
      </c>
      <c r="B402" s="95">
        <v>2.1</v>
      </c>
      <c r="C402" s="95">
        <v>3.2</v>
      </c>
      <c r="D402" s="95">
        <v>2.8</v>
      </c>
      <c r="E402" s="95">
        <v>0.35</v>
      </c>
    </row>
    <row r="403" spans="1:5" x14ac:dyDescent="0.25">
      <c r="A403" s="1169">
        <v>4000</v>
      </c>
      <c r="B403" s="95">
        <v>2.8</v>
      </c>
      <c r="C403" s="95">
        <v>4.2</v>
      </c>
      <c r="D403" s="95">
        <v>3.7</v>
      </c>
      <c r="E403" s="95">
        <v>0.4</v>
      </c>
    </row>
    <row r="404" spans="1:5" x14ac:dyDescent="0.25">
      <c r="A404" s="1169">
        <v>6000</v>
      </c>
      <c r="B404" s="95">
        <v>3.5</v>
      </c>
      <c r="C404" s="95">
        <v>5.2</v>
      </c>
      <c r="D404" s="95">
        <v>4.5999999999999996</v>
      </c>
      <c r="E404" s="95">
        <v>0.45</v>
      </c>
    </row>
    <row r="405" spans="1:5" x14ac:dyDescent="0.25">
      <c r="A405" s="1169">
        <v>8000</v>
      </c>
      <c r="B405" s="95">
        <v>4.2</v>
      </c>
      <c r="C405" s="95">
        <v>6.2</v>
      </c>
      <c r="D405" s="95">
        <v>5.5</v>
      </c>
      <c r="E405" s="95">
        <v>0.5</v>
      </c>
    </row>
    <row r="406" spans="1:5" x14ac:dyDescent="0.25">
      <c r="A406" s="1169">
        <v>10000</v>
      </c>
      <c r="B406" s="95">
        <v>4.9000000000000004</v>
      </c>
      <c r="C406" s="95">
        <v>7.2</v>
      </c>
      <c r="D406" s="95">
        <v>6.4</v>
      </c>
      <c r="E406" s="95">
        <v>0.55000000000000004</v>
      </c>
    </row>
    <row r="407" spans="1:5" x14ac:dyDescent="0.25">
      <c r="A407" s="1169">
        <v>12000</v>
      </c>
      <c r="B407" s="95">
        <v>5.6</v>
      </c>
      <c r="C407" s="95">
        <v>8.1999999999999993</v>
      </c>
      <c r="D407" s="95">
        <v>7.3</v>
      </c>
      <c r="E407" s="95">
        <v>0.6</v>
      </c>
    </row>
    <row r="408" spans="1:5" x14ac:dyDescent="0.25">
      <c r="B408" s="75">
        <f>SLOPE(B402:B407,$A$402:$A$407)</f>
        <v>3.5E-4</v>
      </c>
      <c r="C408" s="75">
        <f t="shared" ref="C408:E408" si="12">SLOPE(C402:C407,$A$402:$A$407)</f>
        <v>5.0000000000000001E-4</v>
      </c>
      <c r="D408" s="75">
        <f t="shared" si="12"/>
        <v>4.4999999999999999E-4</v>
      </c>
      <c r="E408" s="75">
        <f t="shared" si="12"/>
        <v>2.5000000000000001E-5</v>
      </c>
    </row>
    <row r="409" spans="1:5" x14ac:dyDescent="0.25">
      <c r="B409" s="75">
        <f>INTERCEPT(B402:B407,$A$402:$A$407)</f>
        <v>1.4</v>
      </c>
      <c r="C409" s="75">
        <f t="shared" ref="C409:E409" si="13">INTERCEPT(C402:C407,$A$402:$A$407)</f>
        <v>2.2000000000000002</v>
      </c>
      <c r="D409" s="75">
        <f t="shared" si="13"/>
        <v>1.9</v>
      </c>
      <c r="E409" s="75">
        <f t="shared" si="13"/>
        <v>0.30000000000000004</v>
      </c>
    </row>
    <row r="410" spans="1:5" x14ac:dyDescent="0.25">
      <c r="A410" s="101" t="s">
        <v>1508</v>
      </c>
    </row>
    <row r="411" spans="1:5" x14ac:dyDescent="0.25">
      <c r="A411" s="95"/>
      <c r="B411" s="95" t="s">
        <v>1511</v>
      </c>
      <c r="C411" s="95" t="s">
        <v>1512</v>
      </c>
    </row>
    <row r="412" spans="1:5" x14ac:dyDescent="0.25">
      <c r="A412" s="95" t="s">
        <v>514</v>
      </c>
      <c r="B412" s="285">
        <f>B399+B398*Климатология!$I$2</f>
        <v>2.0420199999999999</v>
      </c>
      <c r="C412" s="285">
        <f>B409+B408*Климатология!$I$2</f>
        <v>3.5735350000000001</v>
      </c>
    </row>
    <row r="413" spans="1:5" x14ac:dyDescent="0.25">
      <c r="A413" s="95" t="s">
        <v>1505</v>
      </c>
      <c r="B413" s="285">
        <f>C399+C398*Климатология!$I$2</f>
        <v>3.2735350000000003</v>
      </c>
      <c r="C413" s="285">
        <f>C409+C408*Климатология!$I$2</f>
        <v>5.3050500000000005</v>
      </c>
    </row>
    <row r="414" spans="1:5" x14ac:dyDescent="0.25">
      <c r="A414" s="95" t="s">
        <v>1506</v>
      </c>
      <c r="B414" s="285">
        <f>D399+D398*Климатология!$I$2</f>
        <v>2.8630300000000002</v>
      </c>
      <c r="C414" s="285">
        <f>D409+D408*Климатология!$I$2</f>
        <v>4.6945449999999997</v>
      </c>
    </row>
    <row r="415" spans="1:5" x14ac:dyDescent="0.25">
      <c r="A415" s="95" t="s">
        <v>1507</v>
      </c>
      <c r="B415" s="285">
        <f>E399+E398*Климатология!$I$2</f>
        <v>0.45525250000000006</v>
      </c>
      <c r="C415" s="285">
        <f>E409+E408*Климатология!$I$2</f>
        <v>0.45525250000000006</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40625"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1" t="s">
        <v>1457</v>
      </c>
      <c r="B1" s="1761"/>
      <c r="C1" s="1761"/>
      <c r="D1" s="1761"/>
      <c r="E1" s="1761"/>
      <c r="F1" s="1761"/>
      <c r="G1" s="1761"/>
      <c r="H1" s="1761"/>
      <c r="I1" s="1761"/>
      <c r="J1" s="1761"/>
      <c r="K1" s="1761"/>
      <c r="L1" s="1761"/>
      <c r="M1" s="1761"/>
      <c r="N1" s="1761"/>
      <c r="O1" s="1761"/>
      <c r="P1" s="1761"/>
      <c r="Q1" s="1761"/>
      <c r="R1" s="1761"/>
      <c r="S1" s="1761"/>
      <c r="T1" s="1761"/>
      <c r="U1" s="1761"/>
      <c r="V1" s="1761"/>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69" t="s">
        <v>897</v>
      </c>
      <c r="G2" s="1870"/>
      <c r="H2" s="1869" t="s">
        <v>898</v>
      </c>
      <c r="I2" s="1870"/>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0</v>
      </c>
      <c r="D8" s="75">
        <f>IF(AND($H$9=1,$H$11=0,$H$4=1),1,0)</f>
        <v>0</v>
      </c>
      <c r="E8" s="83" t="s">
        <v>739</v>
      </c>
      <c r="F8" s="79">
        <v>2</v>
      </c>
      <c r="G8" s="79"/>
      <c r="H8" s="79"/>
      <c r="I8" s="80"/>
    </row>
    <row r="9" spans="1:60" ht="23.45" customHeight="1" x14ac:dyDescent="0.25">
      <c r="A9" s="81" t="s">
        <v>773</v>
      </c>
      <c r="B9" s="82">
        <f>0.5</f>
        <v>0.5</v>
      </c>
      <c r="C9" s="75">
        <f>IF(AND($F$10=1,$F$11=0,$F$4=1),1,0)</f>
        <v>1</v>
      </c>
      <c r="D9" s="75">
        <f>IF(AND($H$10=1,$H$11=0,$H$4=1),1,0)</f>
        <v>0</v>
      </c>
      <c r="E9" s="83" t="s">
        <v>737</v>
      </c>
      <c r="F9" s="79">
        <f>IF(F8=1,1,0)</f>
        <v>0</v>
      </c>
      <c r="G9" s="79"/>
      <c r="H9" s="79">
        <f>F9</f>
        <v>0</v>
      </c>
      <c r="I9" s="80"/>
    </row>
    <row r="10" spans="1:60" ht="21" customHeight="1" x14ac:dyDescent="0.25">
      <c r="A10" s="81" t="s">
        <v>774</v>
      </c>
      <c r="B10" s="82">
        <f>0.85</f>
        <v>0.85</v>
      </c>
      <c r="C10" s="75">
        <f>IF(AND($F$9=1,$F$11=1,$F$4=1),1,0)</f>
        <v>0</v>
      </c>
      <c r="D10" s="75">
        <f>IF(AND($H$9=1,$H$11=1,$H$4=1),1,0)</f>
        <v>0</v>
      </c>
      <c r="E10" s="83" t="s">
        <v>738</v>
      </c>
      <c r="F10" s="79">
        <f>IF(F8=2,1,0)</f>
        <v>1</v>
      </c>
      <c r="G10" s="79"/>
      <c r="H10" s="79">
        <f>F10</f>
        <v>1</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0</v>
      </c>
      <c r="E12" s="84"/>
    </row>
    <row r="13" spans="1:60" ht="29.45" customHeight="1" x14ac:dyDescent="0.25">
      <c r="A13" s="81" t="s">
        <v>777</v>
      </c>
      <c r="B13" s="82">
        <f>0.7</f>
        <v>0.7</v>
      </c>
      <c r="C13" s="75">
        <f>IF(AND($F$10=1,$F$11=0,$F$5=1),1,0)</f>
        <v>0</v>
      </c>
      <c r="D13" s="75">
        <f>IF(AND($H$10=1,$H$11=0,$H$5=1),1,0)</f>
        <v>1</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1458</v>
      </c>
      <c r="B22" s="89" t="s">
        <v>1459</v>
      </c>
      <c r="C22" s="75" t="s">
        <v>899</v>
      </c>
      <c r="E22" s="84" t="s">
        <v>900</v>
      </c>
    </row>
    <row r="23" spans="1:5" ht="27.95" customHeight="1" x14ac:dyDescent="0.25">
      <c r="A23" s="81" t="s">
        <v>1460</v>
      </c>
      <c r="B23" s="82">
        <f>1.13</f>
        <v>1.1299999999999999</v>
      </c>
      <c r="C23" s="75">
        <f>IF(AND(списки!D32=0,списки!D34=0,'Ввод исходных данных'!D17&gt;4),1,0)</f>
        <v>1</v>
      </c>
      <c r="E23" s="84">
        <f>IF(AND(списки!D32=0,списки!D34=0,'Ввод исходных данных'!D17&gt;4),1,0)</f>
        <v>1</v>
      </c>
    </row>
    <row r="24" spans="1:5" ht="27.95" customHeight="1" x14ac:dyDescent="0.25">
      <c r="A24" s="81" t="s">
        <v>1461</v>
      </c>
      <c r="B24" s="82">
        <f>1.11</f>
        <v>1.1100000000000001</v>
      </c>
      <c r="C24" s="75">
        <f>IF(AND(списки!D34=0,'Ввод исходных данных'!D19&gt;=9,'Ввод исходных данных'!D17=1),1,0)</f>
        <v>0</v>
      </c>
      <c r="E24" s="84"/>
    </row>
    <row r="25" spans="1:5" ht="27.95" customHeight="1" x14ac:dyDescent="0.25">
      <c r="A25" s="81" t="s">
        <v>1626</v>
      </c>
      <c r="B25" s="82">
        <v>1.0900000000000001</v>
      </c>
      <c r="C25" s="75">
        <f>IF(AND(списки!D32=0,списки!D34=0,'Ввод исходных данных'!D19&lt;9,'Ввод исходных данных'!D17&lt;=4),1,0)</f>
        <v>0</v>
      </c>
      <c r="E25" s="84"/>
    </row>
    <row r="26" spans="1:5" ht="27.95" customHeight="1" x14ac:dyDescent="0.25">
      <c r="A26" s="81" t="s">
        <v>1627</v>
      </c>
      <c r="B26" s="82">
        <f>1.07</f>
        <v>1.07</v>
      </c>
      <c r="C26" s="75">
        <f>IF(списки!D34=1,1,0)</f>
        <v>0</v>
      </c>
      <c r="E26" s="84"/>
    </row>
    <row r="27" spans="1:5" ht="27.95" customHeight="1" x14ac:dyDescent="0.25">
      <c r="A27" s="81" t="s">
        <v>1628</v>
      </c>
      <c r="B27" s="82">
        <f>1.05</f>
        <v>1.05</v>
      </c>
      <c r="C27" s="75">
        <f>IF(списки!D32+списки!D34=2,1,0)</f>
        <v>0</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w/4wRy6iP55ef4UygZn0YbQSY3HpfeUWNIgSBRSIeNBXCNNegHjNzQLZtxZ5di40h4/Tt3mHGkQZV13Sw57XLQ==" saltValue="TfmZBj29eUbRJ2XhVwQjK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40625"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1"/>
      <c r="B1" s="1761"/>
      <c r="C1" s="1761"/>
      <c r="D1" s="1761"/>
      <c r="E1" s="1761"/>
      <c r="F1" s="1761"/>
      <c r="G1" s="1761"/>
      <c r="H1" s="1761"/>
      <c r="I1" s="1761"/>
      <c r="J1" s="1761"/>
      <c r="K1" s="1761"/>
      <c r="L1" s="1761"/>
      <c r="M1" s="1761"/>
      <c r="N1" s="1761"/>
      <c r="O1" s="1761"/>
      <c r="P1" s="1761"/>
      <c r="Q1" s="1761"/>
      <c r="R1" s="1761"/>
      <c r="S1" s="1761"/>
      <c r="T1" s="1761"/>
      <c r="U1" s="1761"/>
      <c r="V1" s="1761"/>
      <c r="W1" s="1761"/>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1342</v>
      </c>
      <c r="F4" s="75" t="s">
        <v>1387</v>
      </c>
    </row>
    <row r="5" spans="1:61" x14ac:dyDescent="0.25">
      <c r="A5" s="95"/>
      <c r="B5" s="96" t="s">
        <v>977</v>
      </c>
      <c r="C5" s="95">
        <v>0.15</v>
      </c>
      <c r="D5" s="75">
        <v>11</v>
      </c>
    </row>
    <row r="6" spans="1:61" x14ac:dyDescent="0.25">
      <c r="A6" s="95"/>
      <c r="B6" s="96" t="s">
        <v>1318</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1343</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1494</v>
      </c>
      <c r="D17" s="100"/>
      <c r="E17" s="100"/>
      <c r="F17" s="100"/>
    </row>
    <row r="18" spans="1:6" ht="13.5" customHeight="1" x14ac:dyDescent="0.25">
      <c r="A18" s="101" t="s">
        <v>984</v>
      </c>
      <c r="B18" s="102">
        <f>'Ввод исходных данных'!G131*'Ввод исходных данных'!H131*'Ввод исходных данных'!D131/1000</f>
        <v>2628</v>
      </c>
      <c r="C18" s="100"/>
      <c r="D18" s="100"/>
      <c r="E18" s="100"/>
      <c r="F18" s="100"/>
    </row>
    <row r="19" spans="1:6" ht="13.5" customHeight="1" x14ac:dyDescent="0.25">
      <c r="A19" s="101" t="s">
        <v>985</v>
      </c>
      <c r="B19" s="102">
        <f>'Ввод исходных данных'!G132*'Ввод исходных данных'!H132*'Ввод исходных данных'!D132/1000</f>
        <v>35040</v>
      </c>
      <c r="C19" s="100"/>
      <c r="D19" s="100"/>
      <c r="E19" s="100"/>
      <c r="F19" s="100"/>
    </row>
    <row r="20" spans="1:6" ht="13.5" customHeight="1" x14ac:dyDescent="0.25">
      <c r="A20" s="101" t="s">
        <v>1468</v>
      </c>
      <c r="B20" s="102">
        <f>'Ввод исходных данных'!G133*'Ввод исходных данных'!H133*'Ввод исходных данных'!D133/1000</f>
        <v>52560</v>
      </c>
      <c r="C20" s="100"/>
      <c r="D20" s="100"/>
      <c r="E20" s="100"/>
      <c r="F20" s="100"/>
    </row>
    <row r="21" spans="1:6" ht="13.5" customHeight="1" x14ac:dyDescent="0.25">
      <c r="A21" s="101" t="s">
        <v>1469</v>
      </c>
      <c r="B21" s="103">
        <f>'Ввод исходных данных'!G134*'Ввод исходных данных'!H134*'Ввод исходных данных'!D134/1000</f>
        <v>180</v>
      </c>
      <c r="C21" s="100"/>
      <c r="D21" s="100"/>
      <c r="E21" s="100"/>
      <c r="F21" s="100"/>
    </row>
    <row r="22" spans="1:6" ht="13.5" customHeight="1" x14ac:dyDescent="0.25">
      <c r="A22" s="100"/>
      <c r="B22" s="103">
        <f>'Ввод исходных данных'!G135*'Ввод исходных данных'!H135*'Ввод исходных данных'!D135/1000</f>
        <v>60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74" t="s">
        <v>823</v>
      </c>
    </row>
    <row r="29" spans="1:6" x14ac:dyDescent="0.25">
      <c r="A29" s="112" t="s">
        <v>832</v>
      </c>
      <c r="B29" s="116">
        <f>6.5</f>
        <v>6.5</v>
      </c>
      <c r="C29" s="1875" t="s">
        <v>831</v>
      </c>
      <c r="D29" s="117"/>
      <c r="E29" s="1874"/>
    </row>
    <row r="30" spans="1:6" x14ac:dyDescent="0.25">
      <c r="A30" s="118" t="s">
        <v>833</v>
      </c>
      <c r="B30" s="116">
        <f>25.2</f>
        <v>25.2</v>
      </c>
      <c r="C30" s="1875"/>
      <c r="D30" s="117"/>
      <c r="E30" s="1874"/>
    </row>
    <row r="31" spans="1:6" ht="25.5" customHeight="1" x14ac:dyDescent="0.25">
      <c r="A31" s="119" t="s">
        <v>973</v>
      </c>
      <c r="B31" s="120">
        <f>11</f>
        <v>11</v>
      </c>
      <c r="C31" s="1876"/>
      <c r="D31" s="121"/>
      <c r="E31" s="1874"/>
    </row>
    <row r="32" spans="1:6" x14ac:dyDescent="0.25">
      <c r="A32" s="90"/>
      <c r="B32" s="119"/>
      <c r="C32" s="119"/>
      <c r="D32" s="119"/>
      <c r="E32" s="94"/>
    </row>
    <row r="33" spans="1:23" x14ac:dyDescent="0.25">
      <c r="A33" s="90" t="s">
        <v>866</v>
      </c>
      <c r="B33" s="91"/>
      <c r="C33" s="92" t="s">
        <v>899</v>
      </c>
      <c r="D33" s="93" t="s">
        <v>900</v>
      </c>
      <c r="E33" s="94"/>
      <c r="G33" s="75">
        <f>C34*0.86/1000</f>
        <v>0.68701254015983748</v>
      </c>
    </row>
    <row r="34" spans="1:23" x14ac:dyDescent="0.25">
      <c r="A34" s="90"/>
      <c r="B34" s="91" t="s">
        <v>1599</v>
      </c>
      <c r="C34" s="122">
        <f>('Расчет базового уровня'!F144+'Расчет базового уровня'!F151-'Расчет базового уровня'!F148)*'Расчет базового уровня'!D158</f>
        <v>798.85179088353198</v>
      </c>
      <c r="D34" s="123">
        <f>('Расчет после реализации'!F144+'Расчет после реализации'!F151-'Расчет после реализации'!F148)*'Расчет после реализации'!D158</f>
        <v>746.5752286193424</v>
      </c>
      <c r="E34" s="75" t="s">
        <v>1603</v>
      </c>
    </row>
    <row r="35" spans="1:23" x14ac:dyDescent="0.25">
      <c r="A35" s="90">
        <f>C35*$C$43*0.00272/$C$44</f>
        <v>0.35475540754338075</v>
      </c>
      <c r="B35" s="91" t="s">
        <v>1601</v>
      </c>
      <c r="C35" s="124">
        <f>3.6*C34/('Ввод исходных данных'!$D$177-'Ввод исходных данных'!$D$178)/4.2</f>
        <v>15.21622458825775</v>
      </c>
      <c r="D35" s="124">
        <f>3.6*D34/('Ввод исходных данных'!$D$177-'Ввод исходных данных'!$D$178)/4.2</f>
        <v>14.22048054513033</v>
      </c>
      <c r="E35" s="93" t="s">
        <v>885</v>
      </c>
    </row>
    <row r="36" spans="1:23" x14ac:dyDescent="0.25">
      <c r="A36" s="77" t="s">
        <v>867</v>
      </c>
      <c r="B36" s="91" t="s">
        <v>1602</v>
      </c>
      <c r="C36" s="125">
        <f>C35*$C$43*0.00272/$C$44*(24*'Ввод исходных данных'!D246)</f>
        <v>1966.7639794205029</v>
      </c>
      <c r="D36" s="125">
        <f>D35*$C$43*0.00272/$C$44*(24*'Ввод исходных данных'!D246)</f>
        <v>1838.0596805724942</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f>'Расчет базового уровня'!O35/('Ввод исходных данных'!$D$177-'Ввод исходных данных'!$D$178)/4.2*3.6</f>
        <v>6231.9591154824402</v>
      </c>
      <c r="H40" s="141">
        <f>'Расчет базового уровня'!R35/('Ввод исходных данных'!$D$177-'Ввод исходных данных'!$D$178)/4.2*3.6</f>
        <v>3342.5983174805451</v>
      </c>
      <c r="I40" s="141">
        <f>'Расчет базового уровня'!U35/('Ввод исходных данных'!$D$177-'Ввод исходных данных'!$D$178)/4.2*3.6</f>
        <v>-442.60055213743664</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372.8155558891882</v>
      </c>
      <c r="N40" s="141">
        <f>'Расчет базового уровня'!AJ35/('Ввод исходных данных'!$D$177-'Ввод исходных данных'!$D$178)/4.2*3.6</f>
        <v>3414.4561910646294</v>
      </c>
      <c r="O40" s="141">
        <f>'Расчет базового уровня'!AM35/('Ввод исходных данных'!$D$177-'Ввод исходных данных'!$D$178)/4.2*3.6</f>
        <v>5777.3121518589169</v>
      </c>
      <c r="P40" s="141">
        <f>'Расчет базового уровня'!AP35/('Ввод исходных данных'!$D$177-'Ввод исходных данных'!$D$178)/4.2*3.6</f>
        <v>7830.5854560412963</v>
      </c>
    </row>
    <row r="41" spans="1:23" ht="22.5" customHeight="1" x14ac:dyDescent="0.25">
      <c r="A41" s="142" t="s">
        <v>1388</v>
      </c>
      <c r="B41" s="134" t="s">
        <v>494</v>
      </c>
      <c r="C41" s="143">
        <f>'Расчет базового уровня'!C35/('Ввод исходных данных'!D177-'Ввод исходных данных'!D178)/4.2*3.6</f>
        <v>43867.346151257676</v>
      </c>
      <c r="D41" s="136" t="s">
        <v>877</v>
      </c>
      <c r="E41" s="141">
        <f>'Расчет базового уровня'!I35/('Ввод исходных данных'!$D$177-'Ввод исходных данных'!$D$178)/4.2*3.6</f>
        <v>8564.3811533469998</v>
      </c>
      <c r="F41" s="141">
        <f>'Расчет базового уровня'!L35/('Ввод исходных данных'!$D$177-'Ввод исходных данных'!$D$178)/4.2*3.6</f>
        <v>7356.8368108653176</v>
      </c>
      <c r="G41" s="144">
        <f>'Расчет после реализации'!N35/('Ввод исходных данных'!$D$177-'Ввод исходных данных'!$D$178)/4.2*3.6</f>
        <v>4478.601814183894</v>
      </c>
      <c r="H41" s="144">
        <f>'Расчет после реализации'!P35/('Ввод исходных данных'!$D$177-'Ввод исходных данных'!$D$178)/4.2*3.6</f>
        <v>1073.3279443162503</v>
      </c>
      <c r="I41" s="144">
        <f>'Расчет после реализации'!R35/('Ввод исходных данных'!$D$177-'Ввод исходных данных'!$D$178)/4.2*3.6</f>
        <v>270.04073264386471</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2826.7718582864195</v>
      </c>
      <c r="O41" s="144">
        <f>'Расчет после реализации'!AD35/('Ввод исходных данных'!$D$177-'Ввод исходных данных'!$D$178)/4.2*3.6</f>
        <v>6084.8625384463721</v>
      </c>
      <c r="P41" s="144">
        <f>'Расчет после реализации'!AF35/('Ввод исходных данных'!$D$177-'Ввод исходных данных'!$D$178)/4.2*3.6</f>
        <v>5745.4477845424217</v>
      </c>
      <c r="Q41" s="144"/>
      <c r="R41" s="144"/>
      <c r="S41" s="144"/>
      <c r="T41" s="144"/>
      <c r="U41" s="144"/>
      <c r="V41" s="144"/>
      <c r="W41" s="144"/>
    </row>
    <row r="42" spans="1:23" ht="24" customHeight="1" x14ac:dyDescent="0.25">
      <c r="A42" s="145" t="s">
        <v>878</v>
      </c>
      <c r="B42" s="146"/>
      <c r="C42" s="144">
        <f>'Расчет после реализации'!D35/('Ввод исходных данных'!$D$177-'Ввод исходных данных'!$D$178)/4.2*3.6</f>
        <v>34251.207992671501</v>
      </c>
      <c r="D42" s="147"/>
      <c r="E42" s="144">
        <f>'Расчет после реализации'!J35/('Ввод исходных данных'!$D$177-'Ввод исходных данных'!$D$178)/4.2*3.6</f>
        <v>6612.2241658245794</v>
      </c>
      <c r="F42" s="144">
        <f>'Расчет после реализации'!L35/('Ввод исходных данных'!$D$177-'Ввод исходных данных'!$D$178)/4.2*3.6</f>
        <v>5612.006400489634</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1607</v>
      </c>
      <c r="B46" s="134" t="s">
        <v>883</v>
      </c>
      <c r="C46" s="139">
        <f>$C$43*0.00272/$C$44</f>
        <v>2.3314285714285718E-2</v>
      </c>
      <c r="D46" s="151"/>
      <c r="E46" s="99"/>
      <c r="F46" s="99"/>
      <c r="G46" s="157">
        <f t="shared" ref="G46:P46" si="0">0.00272*G40*10/$C$44</f>
        <v>242.1561256301749</v>
      </c>
      <c r="H46" s="157">
        <f t="shared" si="0"/>
        <v>129.88382033638692</v>
      </c>
      <c r="I46" s="157">
        <f t="shared" si="0"/>
        <v>-17.198192883054684</v>
      </c>
      <c r="J46" s="157">
        <f t="shared" si="0"/>
        <v>0</v>
      </c>
      <c r="K46" s="157">
        <f t="shared" si="0"/>
        <v>0</v>
      </c>
      <c r="L46" s="157">
        <f t="shared" si="0"/>
        <v>0</v>
      </c>
      <c r="M46" s="157">
        <f t="shared" si="0"/>
        <v>14.486547314551315</v>
      </c>
      <c r="N46" s="157">
        <f t="shared" si="0"/>
        <v>132.67601199565419</v>
      </c>
      <c r="O46" s="157">
        <f t="shared" si="0"/>
        <v>224.4898436150894</v>
      </c>
      <c r="P46" s="157">
        <f t="shared" si="0"/>
        <v>304.27417772046186</v>
      </c>
    </row>
    <row r="47" spans="1:23" x14ac:dyDescent="0.25">
      <c r="A47" s="158" t="s">
        <v>1388</v>
      </c>
      <c r="B47" s="134" t="s">
        <v>842</v>
      </c>
      <c r="C47" s="157">
        <f>0.00272*C41*10/$C$44</f>
        <v>1704.5597361631553</v>
      </c>
      <c r="D47" s="159"/>
      <c r="E47" s="157">
        <f>0.00272*E41*10/$C$44</f>
        <v>332.78738195862633</v>
      </c>
      <c r="F47" s="157">
        <f>0.00272*F41*10/$C$44</f>
        <v>285.86565893648094</v>
      </c>
      <c r="G47" s="157">
        <f t="shared" ref="G47:P47" si="1">0.00272*G41*10/$C$44</f>
        <v>174.02567049400275</v>
      </c>
      <c r="H47" s="157">
        <f t="shared" si="1"/>
        <v>41.70645726486002</v>
      </c>
      <c r="I47" s="157">
        <f t="shared" si="1"/>
        <v>10.493011325590173</v>
      </c>
      <c r="J47" s="157">
        <f t="shared" si="1"/>
        <v>0</v>
      </c>
      <c r="K47" s="157">
        <f t="shared" si="1"/>
        <v>0</v>
      </c>
      <c r="L47" s="157">
        <f t="shared" si="1"/>
        <v>0</v>
      </c>
      <c r="M47" s="157">
        <f t="shared" si="1"/>
        <v>0</v>
      </c>
      <c r="N47" s="157">
        <f t="shared" si="1"/>
        <v>109.8402779219866</v>
      </c>
      <c r="O47" s="157">
        <f t="shared" si="1"/>
        <v>236.44037292248763</v>
      </c>
      <c r="P47" s="157">
        <f t="shared" si="1"/>
        <v>223.25168534221982</v>
      </c>
    </row>
    <row r="48" spans="1:23" ht="25.5" x14ac:dyDescent="0.25">
      <c r="A48" s="156" t="s">
        <v>1608</v>
      </c>
      <c r="B48" s="134"/>
      <c r="C48" s="157">
        <f>0.00272*C42*10/$C$44</f>
        <v>1330.90408200095</v>
      </c>
      <c r="D48" s="159"/>
      <c r="E48" s="157">
        <f>0.00272*E42*10/$C$44</f>
        <v>256.93213901489798</v>
      </c>
      <c r="F48" s="157">
        <f>0.00272*F42*10/$C$44</f>
        <v>218.06653441902583</v>
      </c>
      <c r="G48" s="160">
        <f>$C$35*$C$43*0.00272/$C$44*(24*'Расчет после реализации'!I146)</f>
        <v>263.93802321227525</v>
      </c>
      <c r="H48" s="160">
        <f>$C$35*$C$43*0.00272/$C$44*(24*'Расчет после реализации'!J146)</f>
        <v>255.42389343123415</v>
      </c>
      <c r="I48" s="160">
        <f>$C$35*$C$43*0.00272/$C$44*(24*'Расчет после реализации'!K146)</f>
        <v>170.28259562082275</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255.42389343123415</v>
      </c>
      <c r="O48" s="160">
        <f>$C$35*$C$43*0.00272/$C$44*(24*'Расчет после реализации'!Q146)</f>
        <v>255.42389343123415</v>
      </c>
      <c r="P48" s="160">
        <f>$C$35*$C$43*0.00272/$C$44*(24*'Расчет после реализации'!R146)</f>
        <v>263.93802321227525</v>
      </c>
      <c r="Q48" s="99"/>
    </row>
    <row r="49" spans="1:17" x14ac:dyDescent="0.25">
      <c r="A49" s="158" t="s">
        <v>1388</v>
      </c>
      <c r="B49" s="134" t="s">
        <v>842</v>
      </c>
      <c r="C49" s="160">
        <f>C35*6*0.00272/$C$44*(24*'Ввод исходных данных'!D246)</f>
        <v>1966.7639794205029</v>
      </c>
      <c r="D49" s="161"/>
      <c r="E49" s="160">
        <f>$C$35*$C$43*0.00272/$C$44*(24*'Расчет после реализации'!G146)</f>
        <v>263.93802321227525</v>
      </c>
      <c r="F49" s="160">
        <f>$C$35*$C$43*0.00272/$C$44*(24*'Расчет после реализации'!H146)</f>
        <v>238.39563386915188</v>
      </c>
      <c r="G49" s="162">
        <f>$D$35*$C$43*0.00272/$C$44*(24*'Расчет после реализации'!I146)</f>
        <v>246.66601773916591</v>
      </c>
      <c r="H49" s="162">
        <f>$D$35*$C$43*0.00272/$C$44*(24*'Расчет после реализации'!J146)</f>
        <v>238.70904942499925</v>
      </c>
      <c r="I49" s="162">
        <f>$D$35*$C$43*0.00272/$C$44*(24*'Расчет после реализации'!K146)</f>
        <v>159.13936628333283</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238.70904942499925</v>
      </c>
      <c r="O49" s="162">
        <f>$D$35*$C$43*0.00272/$C$44*(24*'Расчет после реализации'!Q146)</f>
        <v>238.70904942499925</v>
      </c>
      <c r="P49" s="162">
        <f>$D$35*$C$43*0.00272/$C$44*(24*'Расчет после реализации'!R146)</f>
        <v>246.66601773916591</v>
      </c>
      <c r="Q49" s="99"/>
    </row>
    <row r="50" spans="1:17" x14ac:dyDescent="0.25">
      <c r="A50" s="158" t="s">
        <v>1609</v>
      </c>
      <c r="B50" s="163"/>
      <c r="C50" s="164">
        <f>D35*$C$43*0.00272/$C$44*(24*'Ввод исходных данных'!D246)</f>
        <v>1838.0596805724942</v>
      </c>
      <c r="D50" s="165"/>
      <c r="E50" s="162">
        <f>$D$35*$C$43*0.00272/$C$44*(24*'Расчет после реализации'!G146)</f>
        <v>246.66601773916591</v>
      </c>
      <c r="F50" s="162">
        <f>$D$35*$C$43*0.00272/$C$44*(24*'Расчет после реализации'!H146)</f>
        <v>222.79511279666596</v>
      </c>
      <c r="G50" s="166">
        <f>IF('Список мероприятий'!$D$33=списки!$N$46,'Система электроснабжения'!G49,'Система электроснабжения'!G47)*IF('Список мероприятий'!AF44=1,0.9,1)*IF('Список мероприятий'!$AB$52=1,0.9572,1)</f>
        <v>174.02567049400275</v>
      </c>
      <c r="H50" s="166">
        <f>IF('Список мероприятий'!$D$33=списки!$N$46,'Система электроснабжения'!H49,'Система электроснабжения'!H47)*IF('Список мероприятий'!AG44=1,0.9,1)*IF('Список мероприятий'!$AB$52=1,0.9572,1)</f>
        <v>41.70645726486002</v>
      </c>
      <c r="I50" s="166">
        <f>IF('Список мероприятий'!$D$33=списки!$N$46,'Система электроснабжения'!I49,'Система электроснабжения'!I47)*IF('Список мероприятий'!AH44=1,0.9,1)*IF('Список мероприятий'!$AB$52=1,0.9572,1)</f>
        <v>10.493011325590173</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109.8402779219866</v>
      </c>
      <c r="O50" s="166">
        <f>IF('Список мероприятий'!$D$33=списки!$N$46,'Система электроснабжения'!O49,'Система электроснабжения'!O47)*IF('Список мероприятий'!AN44=1,0.9,1)*IF('Список мероприятий'!$AB$52=1,0.9572,1)</f>
        <v>236.44037292248763</v>
      </c>
      <c r="P50" s="166">
        <f>IF('Список мероприятий'!$D$33=списки!$N$46,'Система электроснабжения'!P49,'Система электроснабжения'!P47)*IF('Список мероприятий'!AO44=1,0.9,1)*IF('Список мероприятий'!$AB$52=1,0.9572,1)</f>
        <v>223.25168534221982</v>
      </c>
      <c r="Q50" s="99"/>
    </row>
    <row r="51" spans="1:17" ht="15" customHeight="1" x14ac:dyDescent="0.25">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1330.90408200095</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256.93213901489798</v>
      </c>
      <c r="F51" s="166">
        <f>IF('Список мероприятий'!$D$33=списки!$N$46,'Система электроснабжения'!F50,'Система электроснабжения'!F48)*IF('Список мероприятий'!AE44=1,0.9,1)*IF('Список мероприятий'!$AB$52=1,0.9572,1)</f>
        <v>218.06653441902583</v>
      </c>
      <c r="K51" s="94"/>
    </row>
    <row r="52" spans="1:17" ht="34.5" customHeight="1" x14ac:dyDescent="0.25">
      <c r="A52" s="152" t="s">
        <v>1450</v>
      </c>
      <c r="B52" s="131"/>
      <c r="C52" s="131"/>
      <c r="D52" s="132"/>
      <c r="G52" s="167">
        <f>G55*'Система электроснабжения'!$C$55</f>
        <v>9.2538775061438869</v>
      </c>
      <c r="H52" s="167">
        <f>H55*'Система электроснабжения'!$C$55</f>
        <v>9.2538775061438869</v>
      </c>
      <c r="I52" s="167">
        <f>I55*'Система электроснабжения'!$C$55</f>
        <v>8.3284897555294997</v>
      </c>
      <c r="J52" s="167">
        <f>J55*'Система электроснабжения'!$C$55</f>
        <v>8.3284897555294997</v>
      </c>
      <c r="K52" s="167">
        <f>K55*'Система электроснабжения'!$C$55</f>
        <v>8.3284897555294997</v>
      </c>
      <c r="L52" s="167">
        <f>L55*'Система электроснабжения'!$C$55</f>
        <v>8.3284897555294997</v>
      </c>
      <c r="M52" s="167">
        <f>M55*'Система электроснабжения'!$C$55</f>
        <v>8.3284897555294997</v>
      </c>
      <c r="N52" s="167">
        <f>N55*'Система электроснабжения'!$C$55</f>
        <v>9.2538775061438869</v>
      </c>
      <c r="O52" s="167">
        <f>O55*'Система электроснабжения'!$C$55</f>
        <v>9.2538775061438869</v>
      </c>
      <c r="P52" s="167">
        <f>P55*'Система электроснабжения'!$C$55</f>
        <v>9.2538775061438869</v>
      </c>
    </row>
    <row r="53" spans="1:17" s="171" customFormat="1" ht="19.5" customHeight="1" x14ac:dyDescent="0.25">
      <c r="A53" s="168" t="s">
        <v>1348</v>
      </c>
      <c r="B53" s="169" t="s">
        <v>885</v>
      </c>
      <c r="C53" s="167">
        <f>'Расчет базового уровня'!D171*'Система электроснабжения'!$C$55</f>
        <v>9.2538775061438869</v>
      </c>
      <c r="D53" s="95"/>
      <c r="E53" s="167">
        <f>E56*'Система электроснабжения'!$C$55</f>
        <v>9.2538775061438869</v>
      </c>
      <c r="F53" s="167">
        <f>F56*'Система электроснабжения'!$C$55</f>
        <v>9.2538775061438869</v>
      </c>
      <c r="G53" s="170">
        <f>G56*'Система электроснабжения'!$C$55</f>
        <v>9.2538775061438869</v>
      </c>
      <c r="H53" s="170">
        <f>H56*'Система электроснабжения'!$C$55</f>
        <v>9.2538775061438869</v>
      </c>
      <c r="I53" s="170">
        <f>I56*'Система электроснабжения'!$C$55</f>
        <v>8.3284897555294997</v>
      </c>
      <c r="J53" s="170">
        <f>J56*'Система электроснабжения'!$C$55</f>
        <v>8.3284897555294997</v>
      </c>
      <c r="K53" s="170">
        <f>K56*'Система электроснабжения'!$C$55</f>
        <v>8.3284897555294997</v>
      </c>
      <c r="L53" s="170">
        <f>L56*'Система электроснабжения'!$C$55</f>
        <v>8.3284897555294997</v>
      </c>
      <c r="M53" s="170">
        <f>M56*'Система электроснабжения'!$C$55</f>
        <v>8.3284897555294997</v>
      </c>
      <c r="N53" s="170">
        <f>N56*'Система электроснабжения'!$C$55</f>
        <v>9.2538775061438869</v>
      </c>
      <c r="O53" s="170">
        <f>O56*'Система электроснабжения'!$C$55</f>
        <v>9.2538775061438869</v>
      </c>
      <c r="P53" s="170">
        <f>P56*'Система электроснабжения'!$C$55</f>
        <v>9.2538775061438869</v>
      </c>
    </row>
    <row r="54" spans="1:17" ht="30.75" customHeight="1" x14ac:dyDescent="0.25">
      <c r="A54" s="172" t="s">
        <v>893</v>
      </c>
      <c r="B54" s="173"/>
      <c r="C54" s="174">
        <f>C57*'Система электроснабжения'!C55</f>
        <v>9.2265799323794528</v>
      </c>
      <c r="D54" s="175"/>
      <c r="E54" s="170">
        <f>E57*'Система электроснабжения'!$C$55</f>
        <v>9.2538775061438869</v>
      </c>
      <c r="F54" s="170">
        <f>F57*'Система электроснабжения'!$C$55</f>
        <v>9.2538775061438869</v>
      </c>
      <c r="K54" s="176"/>
      <c r="L54" s="177"/>
      <c r="M54" s="177"/>
      <c r="N54" s="177"/>
      <c r="O54" s="177"/>
      <c r="P54" s="177"/>
    </row>
    <row r="55" spans="1:17" ht="30.75" customHeight="1" x14ac:dyDescent="0.25">
      <c r="A55" s="172"/>
      <c r="B55" s="169"/>
      <c r="C55" s="178">
        <f>11.96*('Ввод исходных данных'!$D$22^(-0.181))</f>
        <v>3.7461613558818887</v>
      </c>
      <c r="D55" s="95"/>
      <c r="E55" s="177"/>
      <c r="F55" s="177"/>
      <c r="G55" s="179">
        <f>'Расчет базового уровня'!I171</f>
        <v>2.470229289940828</v>
      </c>
      <c r="H55" s="179">
        <f>'Расчет базового уровня'!J171</f>
        <v>2.470229289940828</v>
      </c>
      <c r="I55" s="179">
        <f>'Расчет базового уровня'!K171</f>
        <v>2.2232063609467456</v>
      </c>
      <c r="J55" s="179">
        <f>'Расчет базового уровня'!L171</f>
        <v>2.2232063609467456</v>
      </c>
      <c r="K55" s="179">
        <f>'Расчет базового уровня'!M171</f>
        <v>2.2232063609467456</v>
      </c>
      <c r="L55" s="179">
        <f>'Расчет базового уровня'!N171</f>
        <v>2.2232063609467456</v>
      </c>
      <c r="M55" s="179">
        <f>'Расчет базового уровня'!O171</f>
        <v>2.2232063609467456</v>
      </c>
      <c r="N55" s="179">
        <f>'Расчет базового уровня'!P171</f>
        <v>2.470229289940828</v>
      </c>
      <c r="O55" s="179">
        <f>'Расчет базового уровня'!Q171</f>
        <v>2.470229289940828</v>
      </c>
      <c r="P55" s="179">
        <f>'Расчет базового уровня'!R171</f>
        <v>2.470229289940828</v>
      </c>
    </row>
    <row r="56" spans="1:17" s="171" customFormat="1" ht="16.5" customHeight="1" x14ac:dyDescent="0.25">
      <c r="A56" s="180" t="s">
        <v>1451</v>
      </c>
      <c r="B56" s="169"/>
      <c r="C56" s="178"/>
      <c r="D56" s="95"/>
      <c r="E56" s="179">
        <f>'Расчет базового уровня'!G171</f>
        <v>2.470229289940828</v>
      </c>
      <c r="F56" s="179">
        <f>'Расчет базового уровня'!H171</f>
        <v>2.470229289940828</v>
      </c>
      <c r="G56" s="181">
        <f>'Расчет после реализации'!I169</f>
        <v>2.470229289940828</v>
      </c>
      <c r="H56" s="181">
        <f>'Расчет после реализации'!J169</f>
        <v>2.470229289940828</v>
      </c>
      <c r="I56" s="181">
        <f>'Расчет после реализации'!K169</f>
        <v>2.2232063609467456</v>
      </c>
      <c r="J56" s="181">
        <f>'Расчет после реализации'!L169</f>
        <v>2.2232063609467456</v>
      </c>
      <c r="K56" s="181">
        <f>'Расчет после реализации'!M169</f>
        <v>2.2232063609467456</v>
      </c>
      <c r="L56" s="181">
        <f>'Расчет после реализации'!N169</f>
        <v>2.2232063609467456</v>
      </c>
      <c r="M56" s="181">
        <f>'Расчет после реализации'!O169</f>
        <v>2.2232063609467456</v>
      </c>
      <c r="N56" s="181">
        <f>'Расчет после реализации'!P169</f>
        <v>2.470229289940828</v>
      </c>
      <c r="O56" s="181">
        <f>'Расчет после реализации'!Q169</f>
        <v>2.470229289940828</v>
      </c>
      <c r="P56" s="181">
        <f>'Расчет после реализации'!R169</f>
        <v>2.470229289940828</v>
      </c>
    </row>
    <row r="57" spans="1:17" ht="24" customHeight="1" x14ac:dyDescent="0.25">
      <c r="A57" s="148" t="s">
        <v>886</v>
      </c>
      <c r="B57" s="173"/>
      <c r="C57" s="182">
        <f>'Расчет после реализации'!D169</f>
        <v>2.4629424778761062</v>
      </c>
      <c r="D57" s="175"/>
      <c r="E57" s="181">
        <f>'Расчет после реализации'!G169</f>
        <v>2.470229289940828</v>
      </c>
      <c r="F57" s="181">
        <f>'Расчет после реализации'!H169</f>
        <v>2.470229289940828</v>
      </c>
    </row>
    <row r="58" spans="1:17" ht="36" x14ac:dyDescent="0.25">
      <c r="A58" s="172" t="s">
        <v>888</v>
      </c>
      <c r="B58" s="110"/>
      <c r="C58" s="183">
        <v>0.1</v>
      </c>
      <c r="D58" s="184" t="s">
        <v>887</v>
      </c>
      <c r="G58" s="143">
        <f t="shared" ref="G58:P58" si="2">G52*(1+$C$58)</f>
        <v>10.179265256758276</v>
      </c>
      <c r="H58" s="143">
        <f t="shared" si="2"/>
        <v>10.179265256758276</v>
      </c>
      <c r="I58" s="143">
        <f t="shared" si="2"/>
        <v>9.1613387310824503</v>
      </c>
      <c r="J58" s="143">
        <f t="shared" si="2"/>
        <v>9.1613387310824503</v>
      </c>
      <c r="K58" s="143">
        <f t="shared" si="2"/>
        <v>9.1613387310824503</v>
      </c>
      <c r="L58" s="143">
        <f t="shared" si="2"/>
        <v>9.1613387310824503</v>
      </c>
      <c r="M58" s="143">
        <f t="shared" si="2"/>
        <v>9.1613387310824503</v>
      </c>
      <c r="N58" s="143">
        <f t="shared" si="2"/>
        <v>10.179265256758276</v>
      </c>
      <c r="O58" s="143">
        <f t="shared" si="2"/>
        <v>10.179265256758276</v>
      </c>
      <c r="P58" s="143">
        <f t="shared" si="2"/>
        <v>10.179265256758276</v>
      </c>
    </row>
    <row r="59" spans="1:17" s="171" customFormat="1" x14ac:dyDescent="0.25">
      <c r="A59" s="168" t="s">
        <v>1348</v>
      </c>
      <c r="B59" s="169" t="s">
        <v>885</v>
      </c>
      <c r="C59" s="143">
        <f>C53*(1+C$58)</f>
        <v>10.179265256758276</v>
      </c>
      <c r="D59" s="95"/>
      <c r="E59" s="143">
        <f>E53*(1+$C$58)</f>
        <v>10.179265256758276</v>
      </c>
      <c r="F59" s="143">
        <f>F53*(1+$C$58)</f>
        <v>10.179265256758276</v>
      </c>
      <c r="G59" s="144">
        <f t="shared" ref="G59:P59" si="3">G53*(1+$C$58)</f>
        <v>10.179265256758276</v>
      </c>
      <c r="H59" s="144">
        <f t="shared" si="3"/>
        <v>10.179265256758276</v>
      </c>
      <c r="I59" s="144">
        <f t="shared" si="3"/>
        <v>9.1613387310824503</v>
      </c>
      <c r="J59" s="144">
        <f t="shared" si="3"/>
        <v>9.1613387310824503</v>
      </c>
      <c r="K59" s="144">
        <f t="shared" si="3"/>
        <v>9.1613387310824503</v>
      </c>
      <c r="L59" s="144">
        <f t="shared" si="3"/>
        <v>9.1613387310824503</v>
      </c>
      <c r="M59" s="144">
        <f t="shared" si="3"/>
        <v>9.1613387310824503</v>
      </c>
      <c r="N59" s="144">
        <f t="shared" si="3"/>
        <v>10.179265256758276</v>
      </c>
      <c r="O59" s="144">
        <f t="shared" si="3"/>
        <v>10.179265256758276</v>
      </c>
      <c r="P59" s="144">
        <f t="shared" si="3"/>
        <v>10.179265256758276</v>
      </c>
    </row>
    <row r="60" spans="1:17" x14ac:dyDescent="0.25">
      <c r="A60" s="145" t="s">
        <v>878</v>
      </c>
      <c r="B60" s="173"/>
      <c r="C60" s="144">
        <f>C54*(1+C$58)</f>
        <v>10.149237925617399</v>
      </c>
      <c r="D60" s="175"/>
      <c r="E60" s="144">
        <f>E54*(1+$C$58)</f>
        <v>10.179265256758276</v>
      </c>
      <c r="F60" s="144">
        <f>F54*(1+$C$58)</f>
        <v>10.179265256758276</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f>0.00272*G58*$C$61*G61/($C$63*$C$64)</f>
        <v>294.27965021137987</v>
      </c>
      <c r="H64" s="185">
        <f>0.00272*H58*$C$61*H61/($C$63*$C$64)</f>
        <v>284.78675826907732</v>
      </c>
      <c r="I64" s="185">
        <f>0.00272*I58*$C$61*I61/($C$63*$C$64)</f>
        <v>264.85168519024199</v>
      </c>
      <c r="J64" s="185">
        <f>0.00272*J58*$C$61*J61/($C$63*$C$64)</f>
        <v>256.30808244216962</v>
      </c>
      <c r="K64" s="185">
        <f>0.00272*K58*$C$61*K61/($C$63*$C$64)</f>
        <v>145.24124671722944</v>
      </c>
      <c r="L64" s="185">
        <f t="shared" ref="L64:P64" si="4">0.00272*L58*$C$61*L61/($C$63*$C$64)</f>
        <v>264.85168519024199</v>
      </c>
      <c r="M64" s="185">
        <f t="shared" si="4"/>
        <v>256.30808244216962</v>
      </c>
      <c r="N64" s="185">
        <f t="shared" si="4"/>
        <v>294.27965021137987</v>
      </c>
      <c r="O64" s="185">
        <f t="shared" si="4"/>
        <v>284.78675826907732</v>
      </c>
      <c r="P64" s="185">
        <f t="shared" si="4"/>
        <v>294.27965021137987</v>
      </c>
    </row>
    <row r="65" spans="1:16" s="171" customFormat="1" ht="27.95" customHeight="1" x14ac:dyDescent="0.25">
      <c r="A65" s="186" t="s">
        <v>1349</v>
      </c>
      <c r="B65" s="134" t="s">
        <v>842</v>
      </c>
      <c r="C65" s="185">
        <f>0.00272*C59*C61*C62/(C63*C64)</f>
        <v>3332.0050717482045</v>
      </c>
      <c r="D65" s="95"/>
      <c r="E65" s="185">
        <f>0.00272*E59*$C$61*E62/($C$63*$C$64)</f>
        <v>294.27965021137987</v>
      </c>
      <c r="F65" s="185">
        <f>0.00272*F59*$C$61*F62/($C$63*$C$64)</f>
        <v>265.80097438447211</v>
      </c>
      <c r="G65" s="187">
        <f>0.00272*G59*$C$61*G61/(C63*C64)*IF('Список мероприятий'!AB44=1,0.9,1)*IF('Список мероприятий'!AB52=1,0.9572,1)</f>
        <v>294.27965021137987</v>
      </c>
      <c r="H65" s="187">
        <f>0.00272*H59*$C$61*H61/(C63*C64)*IF('Список мероприятий'!AB44=1,0.9,1)*IF('Список мероприятий'!AB52=1,0.9572,1)</f>
        <v>284.78675826907732</v>
      </c>
      <c r="I65" s="187">
        <f>0.00272*I59*$C$61*I61/(C63*C64)*IF('Список мероприятий'!AB44=1,0.9,1)*IF('Список мероприятий'!AB52=1,0.9572,1)</f>
        <v>264.85168519024199</v>
      </c>
      <c r="J65" s="187">
        <f>0.00272*J59*$C$61*J61/(C63*C64)*IF('Список мероприятий'!AB44=1,0.9,1)*IF('Список мероприятий'!AB52=1,0.9572,1)</f>
        <v>256.30808244216962</v>
      </c>
      <c r="K65" s="187">
        <f>0.00272*K59*$C$61*K61/(C63*C64)*IF('Список мероприятий'!AB44=1,0.9,1)*IF('Список мероприятий'!AB52=1,0.9572,1)</f>
        <v>145.24124671722944</v>
      </c>
      <c r="L65" s="187">
        <f>0.00272*L59*$C$61*L61/(C63*C64)*IF('Список мероприятий'!AB44=1,0.9,1)*IF('Список мероприятий'!AB52=1,0.9572,1)</f>
        <v>264.85168519024199</v>
      </c>
      <c r="M65" s="187">
        <f>0.00272*M59*$C$61*M61/(C63*C64)*IF('Список мероприятий'!AB44=1,0.9,1)*IF('Список мероприятий'!AB52=1,0.9572,1)</f>
        <v>256.30808244216962</v>
      </c>
      <c r="N65" s="187">
        <f>0.00272*N59*$C$61*N61/(C63*C64)*IF('Список мероприятий'!AB44=1,0.9,1)*IF('Список мероприятий'!AB52=1,0.9572,1)</f>
        <v>294.27965021137987</v>
      </c>
      <c r="O65" s="187">
        <f>0.00272*O59*$C$61*O61/(C63*C64)*IF('Список мероприятий'!AB44=1,0.9,1)*IF('Список мероприятий'!AB52=1,0.9572,1)</f>
        <v>284.78675826907732</v>
      </c>
      <c r="P65" s="187">
        <f>0.00272*P59*$C$61*P61/(C63*C64)*IF('Список мероприятий'!AB44=1,0.9,1)*IF('Список мероприятий'!AB52=1,0.9572,1)</f>
        <v>294.27965021137987</v>
      </c>
    </row>
    <row r="66" spans="1:16" ht="27.95" customHeight="1" x14ac:dyDescent="0.25">
      <c r="A66" s="100" t="s">
        <v>974</v>
      </c>
      <c r="B66" s="188"/>
      <c r="C66" s="189">
        <f>0.00272*C60*C61*C62/(C63*C64)*IF('Список мероприятий'!AB44=1,0.9,1)*IF('Список мероприятий'!AB52=1,0.9572,1)</f>
        <v>3322.1761482327238</v>
      </c>
      <c r="D66" s="190"/>
      <c r="E66" s="187">
        <f>0.00272*E60*$C$61*E62/(C63*C64)*IF('Список мероприятий'!AB44=1,0.9,1)*IF('Список мероприятий'!AB52=1,0.9572,1)</f>
        <v>294.27965021137987</v>
      </c>
      <c r="F66" s="187">
        <f>0.00272*F60*$C$61*F62/(C63*C64)*IF('Список мероприятий'!AB44=1,0.9,1)*IF('Список мероприятий'!AB52=1,0.9572,1)</f>
        <v>265.80097438447211</v>
      </c>
      <c r="G66" s="100"/>
    </row>
    <row r="67" spans="1:16" x14ac:dyDescent="0.25">
      <c r="A67" s="90" t="s">
        <v>892</v>
      </c>
      <c r="B67" s="100"/>
      <c r="C67" s="100"/>
      <c r="D67" s="100"/>
      <c r="E67" s="100"/>
      <c r="F67" s="100"/>
    </row>
    <row r="68" spans="1:16" x14ac:dyDescent="0.25">
      <c r="A68" s="1877" t="s">
        <v>834</v>
      </c>
      <c r="B68" s="91"/>
      <c r="C68" s="92"/>
      <c r="D68" s="93"/>
      <c r="E68" s="94"/>
      <c r="G68" s="129"/>
    </row>
    <row r="69" spans="1:16" x14ac:dyDescent="0.25">
      <c r="A69" s="1877"/>
      <c r="B69" s="1877" t="s">
        <v>835</v>
      </c>
      <c r="C69" s="129" t="s">
        <v>754</v>
      </c>
      <c r="D69" s="129"/>
      <c r="E69" s="129"/>
      <c r="F69" s="129"/>
      <c r="G69" s="191" t="s">
        <v>840</v>
      </c>
    </row>
    <row r="70" spans="1:16" ht="51" x14ac:dyDescent="0.25">
      <c r="A70" s="192" t="s">
        <v>841</v>
      </c>
      <c r="B70" s="1877"/>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1" t="s">
        <v>580</v>
      </c>
      <c r="B87" s="205"/>
      <c r="C87" s="203" t="s">
        <v>579</v>
      </c>
      <c r="D87" s="75">
        <v>2920</v>
      </c>
      <c r="E87" s="75">
        <v>120</v>
      </c>
    </row>
    <row r="88" spans="1:5" ht="47.25" x14ac:dyDescent="0.25">
      <c r="A88" s="1872"/>
      <c r="B88" s="204" t="s">
        <v>581</v>
      </c>
      <c r="C88" s="203" t="s">
        <v>579</v>
      </c>
      <c r="D88" s="75">
        <v>8760</v>
      </c>
      <c r="E88" s="75">
        <v>240</v>
      </c>
    </row>
    <row r="89" spans="1:5" ht="15.75" x14ac:dyDescent="0.25">
      <c r="A89" s="1872"/>
      <c r="B89" s="204" t="s">
        <v>582</v>
      </c>
      <c r="C89" s="203"/>
    </row>
    <row r="90" spans="1:5" ht="31.5" x14ac:dyDescent="0.25">
      <c r="A90" s="1872"/>
      <c r="B90" s="204" t="s">
        <v>583</v>
      </c>
      <c r="C90" s="203" t="s">
        <v>579</v>
      </c>
      <c r="D90" s="75">
        <v>300</v>
      </c>
    </row>
    <row r="91" spans="1:5" ht="47.25" x14ac:dyDescent="0.25">
      <c r="A91" s="1873"/>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1" t="s">
        <v>1462</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83" t="s">
        <v>1463</v>
      </c>
      <c r="B3" s="1884" t="s">
        <v>919</v>
      </c>
      <c r="C3" s="1885" t="s">
        <v>1004</v>
      </c>
      <c r="D3" s="1885" t="s">
        <v>790</v>
      </c>
      <c r="F3" s="211">
        <v>1</v>
      </c>
      <c r="H3" s="84"/>
      <c r="I3" s="84"/>
      <c r="J3" s="84"/>
      <c r="K3" s="84"/>
      <c r="L3" s="84"/>
      <c r="M3" s="84"/>
      <c r="N3" s="84"/>
      <c r="O3" s="84"/>
      <c r="P3" s="84"/>
      <c r="Q3" s="84"/>
    </row>
    <row r="4" spans="1:59" x14ac:dyDescent="0.25">
      <c r="A4" s="1883"/>
      <c r="B4" s="1884"/>
      <c r="C4" s="1885"/>
      <c r="D4" s="1885"/>
      <c r="E4" s="212">
        <v>2</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0</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1</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1</v>
      </c>
      <c r="C11" s="221">
        <f>IF(F14=0,1,0)</f>
        <v>0</v>
      </c>
      <c r="H11" s="84"/>
      <c r="I11" s="84"/>
      <c r="J11" s="84"/>
      <c r="K11" s="84"/>
      <c r="L11" s="84"/>
      <c r="M11" s="84"/>
      <c r="N11" s="84"/>
      <c r="O11" s="84"/>
      <c r="P11" s="84"/>
      <c r="Q11" s="84"/>
    </row>
    <row r="12" spans="1:59" ht="18" x14ac:dyDescent="0.35">
      <c r="A12" s="1885" t="s">
        <v>791</v>
      </c>
      <c r="B12" s="1886" t="s">
        <v>797</v>
      </c>
      <c r="C12" s="1886"/>
      <c r="E12" s="75">
        <f>SUMPRODUCT(D14:D17,B14:B17)*B11+SUMPRODUCT(D14:D17,C14:C17)*C11</f>
        <v>0.25</v>
      </c>
      <c r="H12" s="84"/>
      <c r="I12" s="84"/>
      <c r="J12" s="84"/>
      <c r="K12" s="84"/>
      <c r="L12" s="84"/>
      <c r="M12" s="84"/>
      <c r="N12" s="84"/>
      <c r="O12" s="84"/>
      <c r="P12" s="84"/>
      <c r="Q12" s="84"/>
    </row>
    <row r="13" spans="1:59" ht="87.6" customHeight="1" x14ac:dyDescent="0.25">
      <c r="A13" s="1885"/>
      <c r="B13" s="222" t="s">
        <v>796</v>
      </c>
      <c r="C13" s="222" t="s">
        <v>1464</v>
      </c>
      <c r="F13" s="211"/>
      <c r="G13" s="211">
        <f>IF(F20=1,1,IF(F21=1,2,0))</f>
        <v>1</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1</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0</v>
      </c>
      <c r="E16" s="75" t="s">
        <v>730</v>
      </c>
      <c r="F16" s="211">
        <f t="shared" si="0"/>
        <v>0</v>
      </c>
      <c r="G16" s="211" t="b">
        <v>0</v>
      </c>
    </row>
    <row r="17" spans="1:11" ht="25.5" x14ac:dyDescent="0.25">
      <c r="A17" s="223" t="s">
        <v>795</v>
      </c>
      <c r="B17" s="224">
        <f>0.25</f>
        <v>0.25</v>
      </c>
      <c r="C17" s="224">
        <f>0.2</f>
        <v>0.2</v>
      </c>
      <c r="D17" s="75">
        <f>IF(AND($F$15=0,$F$16=0),1,0)</f>
        <v>1</v>
      </c>
      <c r="E17" s="75" t="s">
        <v>1381</v>
      </c>
      <c r="F17" s="211">
        <f t="shared" si="0"/>
        <v>0</v>
      </c>
      <c r="G17" s="211" t="b">
        <v>0</v>
      </c>
    </row>
    <row r="18" spans="1:11" x14ac:dyDescent="0.25">
      <c r="F18" s="211"/>
      <c r="G18" s="211">
        <v>2</v>
      </c>
    </row>
    <row r="19" spans="1:11" x14ac:dyDescent="0.25">
      <c r="E19" s="75" t="s">
        <v>1382</v>
      </c>
      <c r="F19" s="211">
        <f>IF($G$18=1,1,0)</f>
        <v>0</v>
      </c>
      <c r="G19" s="211"/>
    </row>
    <row r="20" spans="1:11" x14ac:dyDescent="0.25">
      <c r="E20" s="75" t="s">
        <v>1555</v>
      </c>
      <c r="F20" s="211">
        <f>IF($G$18=2,1,0)</f>
        <v>1</v>
      </c>
      <c r="G20" s="211"/>
    </row>
    <row r="21" spans="1:11" x14ac:dyDescent="0.25">
      <c r="E21" s="75" t="s">
        <v>1556</v>
      </c>
      <c r="F21" s="211">
        <f>IF($G$18=3,1,0)</f>
        <v>0</v>
      </c>
      <c r="G21" s="211"/>
    </row>
    <row r="30" spans="1:11" ht="15.75" thickBot="1" x14ac:dyDescent="0.3"/>
    <row r="31" spans="1:11" ht="16.5" thickBot="1" x14ac:dyDescent="0.3">
      <c r="A31" s="226" t="s">
        <v>728</v>
      </c>
      <c r="B31" s="1881" t="s">
        <v>554</v>
      </c>
      <c r="C31" s="1882"/>
      <c r="I31" s="227" t="s">
        <v>920</v>
      </c>
    </row>
    <row r="32" spans="1:11" ht="63.75" thickBot="1" x14ac:dyDescent="0.3">
      <c r="A32" s="228"/>
      <c r="B32" s="229" t="s">
        <v>555</v>
      </c>
      <c r="C32" s="230" t="s">
        <v>556</v>
      </c>
      <c r="I32" s="1878" t="s">
        <v>1465</v>
      </c>
      <c r="J32" s="1878"/>
      <c r="K32" s="1878"/>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1466</v>
      </c>
      <c r="J34" s="1879"/>
      <c r="K34" s="1880"/>
    </row>
    <row r="35" spans="1:15" ht="32.25" thickBot="1" x14ac:dyDescent="0.3">
      <c r="A35" s="231" t="s">
        <v>558</v>
      </c>
      <c r="B35" s="229">
        <v>0.35</v>
      </c>
      <c r="C35" s="229">
        <v>0.3</v>
      </c>
      <c r="D35" s="229">
        <f>IF((G15=FALSE)*AND(G16=TRUE)*AND(G14=TRUE),1,0)</f>
        <v>0</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H543"/>
  <sheetViews>
    <sheetView topLeftCell="BI4" workbookViewId="0">
      <selection activeCell="A4" sqref="A1:BH1048576"/>
    </sheetView>
  </sheetViews>
  <sheetFormatPr defaultColWidth="3.28515625" defaultRowHeight="15" x14ac:dyDescent="0.25"/>
  <cols>
    <col min="1" max="1" width="3.28515625" style="75" hidden="1" customWidth="1"/>
    <col min="2" max="3" width="15" style="75" hidden="1" customWidth="1"/>
    <col min="4" max="4" width="23.85546875" style="75" hidden="1" customWidth="1"/>
    <col min="5" max="60" width="3.28515625" style="75" hidden="1" customWidth="1"/>
    <col min="61"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x14ac:dyDescent="0.2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1943</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75" t="s">
        <v>1944</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1490</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1433</v>
      </c>
      <c r="D10" s="75" t="s">
        <v>455</v>
      </c>
      <c r="F10" s="255" t="s">
        <v>293</v>
      </c>
      <c r="G10" s="256">
        <v>10</v>
      </c>
      <c r="J10" s="257" t="s">
        <v>0</v>
      </c>
      <c r="K10" s="258" t="s">
        <v>6</v>
      </c>
      <c r="AI10" s="249" t="s">
        <v>1869</v>
      </c>
      <c r="AK10" s="249" t="s">
        <v>804</v>
      </c>
      <c r="AN10" s="75" t="s">
        <v>1301</v>
      </c>
    </row>
    <row r="11" spans="2:44" ht="15.75" x14ac:dyDescent="0.2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266" t="s">
        <v>1435</v>
      </c>
      <c r="F12" s="255" t="s">
        <v>422</v>
      </c>
      <c r="G12" s="256">
        <v>12</v>
      </c>
      <c r="J12" s="257" t="s">
        <v>13</v>
      </c>
      <c r="K12" s="258" t="s">
        <v>633</v>
      </c>
      <c r="R12" s="253"/>
      <c r="AI12" s="99">
        <f ca="1">YEAR(TODAY())</f>
        <v>2017</v>
      </c>
      <c r="AK12" s="75" t="s">
        <v>536</v>
      </c>
      <c r="AL12" s="75">
        <v>2</v>
      </c>
      <c r="AM12" s="75">
        <v>28</v>
      </c>
      <c r="AN12" s="262" t="s">
        <v>1318</v>
      </c>
    </row>
    <row r="13" spans="2:44" ht="15.75" x14ac:dyDescent="0.25">
      <c r="B13" s="95" t="s">
        <v>1436</v>
      </c>
      <c r="F13" s="250" t="s">
        <v>95</v>
      </c>
      <c r="G13" s="251">
        <v>13</v>
      </c>
      <c r="J13" s="257" t="s">
        <v>13</v>
      </c>
      <c r="K13" s="258" t="s">
        <v>14</v>
      </c>
      <c r="R13" s="260"/>
      <c r="AK13" s="75" t="s">
        <v>537</v>
      </c>
      <c r="AL13" s="75">
        <v>3</v>
      </c>
      <c r="AM13" s="75">
        <v>31</v>
      </c>
      <c r="AN13" s="262" t="s">
        <v>978</v>
      </c>
    </row>
    <row r="14" spans="2:44" ht="15.75" x14ac:dyDescent="0.25">
      <c r="B14" s="95" t="s">
        <v>445</v>
      </c>
      <c r="F14" s="255" t="s">
        <v>255</v>
      </c>
      <c r="G14" s="256">
        <v>14</v>
      </c>
      <c r="J14" s="257" t="s">
        <v>13</v>
      </c>
      <c r="K14" s="258" t="s">
        <v>15</v>
      </c>
      <c r="R14" s="260"/>
      <c r="AK14" s="75" t="s">
        <v>538</v>
      </c>
      <c r="AL14" s="75">
        <v>4</v>
      </c>
      <c r="AM14" s="75">
        <v>30</v>
      </c>
      <c r="AN14" s="262" t="s">
        <v>979</v>
      </c>
    </row>
    <row r="15" spans="2:44" ht="15.75" x14ac:dyDescent="0.2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75" t="s">
        <v>1630</v>
      </c>
      <c r="F16" s="255" t="s">
        <v>71</v>
      </c>
      <c r="G16" s="256">
        <v>16</v>
      </c>
      <c r="J16" s="257" t="s">
        <v>13</v>
      </c>
      <c r="K16" s="258" t="s">
        <v>17</v>
      </c>
      <c r="M16" s="254" t="s">
        <v>1269</v>
      </c>
      <c r="O16" s="254" t="s">
        <v>1268</v>
      </c>
      <c r="R16" s="260"/>
      <c r="AK16" s="75" t="s">
        <v>725</v>
      </c>
      <c r="AL16" s="75">
        <v>6</v>
      </c>
      <c r="AM16" s="75">
        <v>30</v>
      </c>
    </row>
    <row r="17" spans="2:40" ht="15.75" x14ac:dyDescent="0.25">
      <c r="B17" s="95" t="s">
        <v>1437</v>
      </c>
      <c r="F17" s="250" t="s">
        <v>614</v>
      </c>
      <c r="G17" s="251">
        <v>17</v>
      </c>
      <c r="J17" s="257" t="s">
        <v>13</v>
      </c>
      <c r="K17" s="258" t="s">
        <v>18</v>
      </c>
      <c r="M17" s="75" t="s">
        <v>1248</v>
      </c>
      <c r="O17" s="95">
        <v>5</v>
      </c>
      <c r="R17" s="259"/>
      <c r="AK17" s="75" t="s">
        <v>720</v>
      </c>
      <c r="AL17" s="75">
        <v>7</v>
      </c>
      <c r="AM17" s="75">
        <v>31</v>
      </c>
    </row>
    <row r="18" spans="2:40" ht="15.75" x14ac:dyDescent="0.25">
      <c r="B18" s="95" t="s">
        <v>1438</v>
      </c>
      <c r="F18" s="255" t="s">
        <v>100</v>
      </c>
      <c r="G18" s="256">
        <v>18</v>
      </c>
      <c r="J18" s="257" t="s">
        <v>13</v>
      </c>
      <c r="K18" s="267" t="s">
        <v>23</v>
      </c>
      <c r="M18" s="75" t="s">
        <v>1249</v>
      </c>
      <c r="O18" s="95">
        <v>10</v>
      </c>
      <c r="R18" s="260"/>
      <c r="AK18" s="75" t="s">
        <v>721</v>
      </c>
      <c r="AL18" s="75">
        <v>8</v>
      </c>
      <c r="AM18" s="75">
        <v>31</v>
      </c>
    </row>
    <row r="19" spans="2:40" ht="15.75" x14ac:dyDescent="0.25">
      <c r="B19" s="95" t="s">
        <v>1439</v>
      </c>
      <c r="F19" s="250" t="s">
        <v>102</v>
      </c>
      <c r="G19" s="251">
        <v>19</v>
      </c>
      <c r="J19" s="257" t="s">
        <v>13</v>
      </c>
      <c r="K19" s="258" t="s">
        <v>20</v>
      </c>
      <c r="M19" s="75" t="s">
        <v>1250</v>
      </c>
      <c r="O19" s="95">
        <v>15</v>
      </c>
      <c r="AK19" s="75" t="s">
        <v>722</v>
      </c>
      <c r="AL19" s="75">
        <v>9</v>
      </c>
      <c r="AM19" s="75">
        <v>30</v>
      </c>
    </row>
    <row r="20" spans="2:40" ht="15.75" x14ac:dyDescent="0.25">
      <c r="B20" s="268" t="s">
        <v>1440</v>
      </c>
      <c r="F20" s="255" t="s">
        <v>615</v>
      </c>
      <c r="G20" s="256">
        <v>20</v>
      </c>
      <c r="J20" s="257" t="s">
        <v>13</v>
      </c>
      <c r="K20" s="258" t="s">
        <v>22</v>
      </c>
      <c r="M20" s="75" t="s">
        <v>1530</v>
      </c>
      <c r="O20" s="95">
        <v>20</v>
      </c>
      <c r="R20" s="248"/>
      <c r="AK20" s="75" t="s">
        <v>727</v>
      </c>
      <c r="AL20" s="75">
        <v>10</v>
      </c>
      <c r="AM20" s="75">
        <v>31</v>
      </c>
    </row>
    <row r="21" spans="2:40" ht="15.75" x14ac:dyDescent="0.25">
      <c r="B21" s="269" t="s">
        <v>1489</v>
      </c>
      <c r="F21" s="250" t="s">
        <v>616</v>
      </c>
      <c r="G21" s="251">
        <v>21</v>
      </c>
      <c r="J21" s="257" t="s">
        <v>13</v>
      </c>
      <c r="K21" s="258" t="s">
        <v>34</v>
      </c>
      <c r="O21" s="95">
        <v>25</v>
      </c>
      <c r="R21" s="253"/>
      <c r="AK21" s="75" t="s">
        <v>533</v>
      </c>
      <c r="AL21" s="75">
        <v>11</v>
      </c>
      <c r="AM21" s="75">
        <v>30</v>
      </c>
    </row>
    <row r="22" spans="2:40" ht="36" customHeight="1" x14ac:dyDescent="0.25">
      <c r="B22" s="268" t="s">
        <v>609</v>
      </c>
      <c r="F22" s="255" t="s">
        <v>113</v>
      </c>
      <c r="G22" s="256">
        <v>22</v>
      </c>
      <c r="J22" s="257" t="s">
        <v>13</v>
      </c>
      <c r="K22" s="258" t="s">
        <v>35</v>
      </c>
      <c r="M22" s="249" t="s">
        <v>1251</v>
      </c>
      <c r="O22" s="95">
        <v>30</v>
      </c>
      <c r="R22" s="259"/>
      <c r="AK22" s="75" t="s">
        <v>534</v>
      </c>
      <c r="AL22" s="75">
        <v>12</v>
      </c>
      <c r="AM22" s="75">
        <v>31</v>
      </c>
    </row>
    <row r="23" spans="2:40" ht="24" x14ac:dyDescent="0.25">
      <c r="B23" s="268" t="s">
        <v>1397</v>
      </c>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42886</v>
      </c>
      <c r="AM24" s="1407"/>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B28" s="270"/>
      <c r="F28" s="255" t="s">
        <v>49</v>
      </c>
      <c r="G28" s="256">
        <v>28</v>
      </c>
      <c r="J28" s="257" t="s">
        <v>13</v>
      </c>
      <c r="K28" s="258" t="s">
        <v>28</v>
      </c>
      <c r="M28" s="254" t="s">
        <v>1269</v>
      </c>
      <c r="R28" s="253"/>
    </row>
    <row r="29" spans="2:40" ht="15.75" customHeight="1" x14ac:dyDescent="0.25">
      <c r="F29" s="250" t="s">
        <v>185</v>
      </c>
      <c r="G29" s="251">
        <v>29</v>
      </c>
      <c r="J29" s="257" t="s">
        <v>13</v>
      </c>
      <c r="K29" s="258" t="s">
        <v>30</v>
      </c>
      <c r="M29" s="75" t="s">
        <v>1253</v>
      </c>
      <c r="R29" s="260"/>
    </row>
    <row r="30" spans="2:40" ht="24" x14ac:dyDescent="0.25">
      <c r="B30" s="1521" t="s">
        <v>1527</v>
      </c>
      <c r="C30" s="1521"/>
      <c r="D30" s="1521"/>
      <c r="F30" s="255" t="s">
        <v>188</v>
      </c>
      <c r="G30" s="256">
        <v>30</v>
      </c>
      <c r="J30" s="257" t="s">
        <v>13</v>
      </c>
      <c r="K30" s="258" t="s">
        <v>31</v>
      </c>
      <c r="M30" s="75" t="s">
        <v>1254</v>
      </c>
      <c r="R30" s="260"/>
    </row>
    <row r="31" spans="2:40" ht="15.75" x14ac:dyDescent="0.25">
      <c r="B31" s="95" t="s">
        <v>519</v>
      </c>
      <c r="C31" s="239" t="b">
        <v>1</v>
      </c>
      <c r="D31" s="95">
        <f t="shared" ref="D31:D48" si="0">IF(C31=TRUE,1,0)</f>
        <v>1</v>
      </c>
      <c r="F31" s="250" t="s">
        <v>190</v>
      </c>
      <c r="G31" s="251">
        <v>31</v>
      </c>
      <c r="J31" s="257" t="s">
        <v>13</v>
      </c>
      <c r="K31" s="258" t="s">
        <v>32</v>
      </c>
      <c r="N31" s="101" t="s">
        <v>864</v>
      </c>
      <c r="R31" s="259"/>
    </row>
    <row r="32" spans="2:40" ht="15.75" x14ac:dyDescent="0.25">
      <c r="B32" s="95" t="s">
        <v>521</v>
      </c>
      <c r="C32" s="239" t="b">
        <v>0</v>
      </c>
      <c r="D32" s="95">
        <f t="shared" si="0"/>
        <v>0</v>
      </c>
      <c r="F32" s="255" t="s">
        <v>617</v>
      </c>
      <c r="G32" s="256">
        <v>32</v>
      </c>
      <c r="J32" s="257" t="s">
        <v>13</v>
      </c>
      <c r="K32" s="258" t="s">
        <v>33</v>
      </c>
      <c r="N32" s="254" t="s">
        <v>1271</v>
      </c>
      <c r="R32" s="260"/>
    </row>
    <row r="33" spans="2:25" ht="15.75" x14ac:dyDescent="0.25">
      <c r="B33" s="95" t="s">
        <v>518</v>
      </c>
      <c r="C33" s="239" t="b">
        <v>1</v>
      </c>
      <c r="D33" s="95">
        <f t="shared" si="0"/>
        <v>1</v>
      </c>
      <c r="F33" s="250" t="s">
        <v>52</v>
      </c>
      <c r="G33" s="251">
        <v>33</v>
      </c>
      <c r="J33" s="257" t="s">
        <v>13</v>
      </c>
      <c r="K33" s="258" t="s">
        <v>19</v>
      </c>
      <c r="N33" s="75" t="s">
        <v>1258</v>
      </c>
      <c r="R33" s="259"/>
    </row>
    <row r="34" spans="2:25" ht="15.75" x14ac:dyDescent="0.25">
      <c r="B34" s="95" t="s">
        <v>520</v>
      </c>
      <c r="C34" s="239" t="b">
        <v>0</v>
      </c>
      <c r="D34" s="95">
        <f t="shared" si="0"/>
        <v>0</v>
      </c>
      <c r="F34" s="255" t="s">
        <v>202</v>
      </c>
      <c r="G34" s="256">
        <v>34</v>
      </c>
      <c r="J34" s="257" t="s">
        <v>13</v>
      </c>
      <c r="K34" s="258" t="s">
        <v>26</v>
      </c>
      <c r="N34" s="75" t="s">
        <v>1259</v>
      </c>
    </row>
    <row r="35" spans="2:25" ht="15.75" x14ac:dyDescent="0.25">
      <c r="B35" s="98" t="s">
        <v>1389</v>
      </c>
      <c r="C35" s="273" t="b">
        <v>0</v>
      </c>
      <c r="D35" s="98">
        <f t="shared" si="0"/>
        <v>0</v>
      </c>
      <c r="F35" s="250" t="s">
        <v>618</v>
      </c>
      <c r="G35" s="251">
        <v>35</v>
      </c>
      <c r="J35" s="257" t="s">
        <v>13</v>
      </c>
      <c r="K35" s="258" t="s">
        <v>21</v>
      </c>
      <c r="N35" s="75" t="s">
        <v>1260</v>
      </c>
      <c r="R35" s="248"/>
    </row>
    <row r="36" spans="2:25" ht="15.75" x14ac:dyDescent="0.25">
      <c r="B36" s="98" t="s">
        <v>1390</v>
      </c>
      <c r="C36" s="273" t="b">
        <v>0</v>
      </c>
      <c r="D36" s="98">
        <f t="shared" si="0"/>
        <v>0</v>
      </c>
      <c r="F36" s="255" t="s">
        <v>67</v>
      </c>
      <c r="G36" s="256">
        <v>36</v>
      </c>
      <c r="J36" s="257" t="s">
        <v>36</v>
      </c>
      <c r="K36" s="258" t="s">
        <v>37</v>
      </c>
      <c r="N36" s="75" t="s">
        <v>1264</v>
      </c>
      <c r="R36" s="253"/>
    </row>
    <row r="37" spans="2:25" ht="15.75" x14ac:dyDescent="0.25">
      <c r="B37" s="98" t="s">
        <v>1391</v>
      </c>
      <c r="C37" s="273" t="b">
        <v>0</v>
      </c>
      <c r="D37" s="98">
        <f t="shared" si="0"/>
        <v>0</v>
      </c>
      <c r="F37" s="250" t="s">
        <v>226</v>
      </c>
      <c r="G37" s="251">
        <v>37</v>
      </c>
      <c r="J37" s="257" t="s">
        <v>36</v>
      </c>
      <c r="K37" s="258" t="s">
        <v>38</v>
      </c>
      <c r="N37" s="75" t="s">
        <v>1265</v>
      </c>
      <c r="R37" s="260"/>
    </row>
    <row r="38" spans="2:25" ht="15.75" x14ac:dyDescent="0.25">
      <c r="B38" s="98" t="s">
        <v>1393</v>
      </c>
      <c r="C38" s="273" t="b">
        <v>1</v>
      </c>
      <c r="D38" s="98">
        <f t="shared" si="0"/>
        <v>1</v>
      </c>
      <c r="F38" s="255" t="s">
        <v>229</v>
      </c>
      <c r="G38" s="256">
        <v>38</v>
      </c>
      <c r="J38" s="257" t="s">
        <v>36</v>
      </c>
      <c r="K38" s="258" t="s">
        <v>39</v>
      </c>
      <c r="N38" s="75" t="s">
        <v>1261</v>
      </c>
      <c r="R38" s="260"/>
    </row>
    <row r="39" spans="2:25" ht="15.75" x14ac:dyDescent="0.25">
      <c r="B39" s="98" t="s">
        <v>1394</v>
      </c>
      <c r="C39" s="273" t="b">
        <v>1</v>
      </c>
      <c r="D39" s="98">
        <f t="shared" si="0"/>
        <v>1</v>
      </c>
      <c r="F39" s="250" t="s">
        <v>238</v>
      </c>
      <c r="G39" s="251">
        <v>39</v>
      </c>
      <c r="J39" s="257" t="s">
        <v>36</v>
      </c>
      <c r="K39" s="258" t="s">
        <v>41</v>
      </c>
      <c r="N39" s="75" t="s">
        <v>1262</v>
      </c>
      <c r="R39" s="259"/>
    </row>
    <row r="40" spans="2:25" ht="15.75" x14ac:dyDescent="0.25">
      <c r="B40" s="98" t="s">
        <v>1495</v>
      </c>
      <c r="C40" s="273" t="b">
        <v>0</v>
      </c>
      <c r="D40" s="98">
        <f t="shared" si="0"/>
        <v>0</v>
      </c>
      <c r="F40" s="255" t="s">
        <v>242</v>
      </c>
      <c r="G40" s="256">
        <v>40</v>
      </c>
      <c r="J40" s="257" t="s">
        <v>36</v>
      </c>
      <c r="K40" s="258" t="s">
        <v>40</v>
      </c>
      <c r="N40" s="75" t="s">
        <v>1263</v>
      </c>
      <c r="R40" s="260"/>
    </row>
    <row r="41" spans="2:25" ht="15.75" x14ac:dyDescent="0.25">
      <c r="B41" s="98" t="s">
        <v>1517</v>
      </c>
      <c r="C41" s="273" t="b">
        <v>0</v>
      </c>
      <c r="D41" s="98">
        <f t="shared" si="0"/>
        <v>0</v>
      </c>
      <c r="F41" s="250" t="s">
        <v>246</v>
      </c>
      <c r="G41" s="251">
        <v>41</v>
      </c>
      <c r="J41" s="257" t="s">
        <v>36</v>
      </c>
      <c r="K41" s="258" t="s">
        <v>42</v>
      </c>
      <c r="R41" s="259"/>
    </row>
    <row r="42" spans="2:25" ht="15.75" x14ac:dyDescent="0.25">
      <c r="B42" s="98" t="s">
        <v>1518</v>
      </c>
      <c r="C42" s="273" t="b">
        <v>0</v>
      </c>
      <c r="D42" s="98">
        <f t="shared" si="0"/>
        <v>0</v>
      </c>
      <c r="F42" s="255" t="s">
        <v>248</v>
      </c>
      <c r="G42" s="256">
        <v>42</v>
      </c>
      <c r="J42" s="257" t="s">
        <v>36</v>
      </c>
      <c r="K42" s="258" t="s">
        <v>43</v>
      </c>
    </row>
    <row r="43" spans="2:25" ht="15.75" x14ac:dyDescent="0.25">
      <c r="B43" s="98" t="s">
        <v>1519</v>
      </c>
      <c r="C43" s="273" t="b">
        <v>0</v>
      </c>
      <c r="D43" s="98">
        <f t="shared" si="0"/>
        <v>0</v>
      </c>
      <c r="F43" s="250" t="s">
        <v>619</v>
      </c>
      <c r="G43" s="251">
        <v>43</v>
      </c>
      <c r="J43" s="275" t="s">
        <v>44</v>
      </c>
      <c r="K43" s="267" t="s">
        <v>45</v>
      </c>
      <c r="N43" s="75" t="s">
        <v>801</v>
      </c>
      <c r="R43" s="248"/>
    </row>
    <row r="44" spans="2:25" ht="15.75" x14ac:dyDescent="0.25">
      <c r="B44" s="274" t="s">
        <v>1532</v>
      </c>
      <c r="C44" s="211" t="b">
        <v>0</v>
      </c>
      <c r="D44" s="98">
        <f t="shared" si="0"/>
        <v>0</v>
      </c>
      <c r="F44" s="255" t="s">
        <v>254</v>
      </c>
      <c r="G44" s="256">
        <v>44</v>
      </c>
      <c r="J44" s="275" t="s">
        <v>44</v>
      </c>
      <c r="K44" s="258" t="s">
        <v>46</v>
      </c>
      <c r="N44" s="254" t="s">
        <v>1270</v>
      </c>
      <c r="R44" s="253"/>
    </row>
    <row r="45" spans="2:25" ht="15.75" x14ac:dyDescent="0.25">
      <c r="B45" s="274" t="s">
        <v>1533</v>
      </c>
      <c r="C45" s="211" t="b">
        <v>0</v>
      </c>
      <c r="D45" s="276">
        <f t="shared" si="0"/>
        <v>0</v>
      </c>
      <c r="F45" s="250" t="s">
        <v>265</v>
      </c>
      <c r="G45" s="251">
        <v>45</v>
      </c>
      <c r="J45" s="275" t="s">
        <v>47</v>
      </c>
      <c r="K45" s="258" t="s">
        <v>48</v>
      </c>
      <c r="N45" s="277" t="s">
        <v>1266</v>
      </c>
      <c r="R45" s="259"/>
    </row>
    <row r="46" spans="2:25" ht="15.75" x14ac:dyDescent="0.25">
      <c r="B46" s="95" t="s">
        <v>1540</v>
      </c>
      <c r="C46" s="239" t="b">
        <v>0</v>
      </c>
      <c r="D46" s="276">
        <f t="shared" si="0"/>
        <v>0</v>
      </c>
      <c r="F46" s="255" t="s">
        <v>267</v>
      </c>
      <c r="G46" s="256">
        <v>46</v>
      </c>
      <c r="J46" s="275" t="s">
        <v>50</v>
      </c>
      <c r="K46" s="258" t="s">
        <v>51</v>
      </c>
      <c r="N46" s="277" t="s">
        <v>1267</v>
      </c>
    </row>
    <row r="47" spans="2:25" ht="15.75" x14ac:dyDescent="0.2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x14ac:dyDescent="0.25">
      <c r="B48" s="95" t="s">
        <v>1596</v>
      </c>
      <c r="C48" s="239" t="b">
        <v>0</v>
      </c>
      <c r="D48" s="276">
        <f t="shared" si="0"/>
        <v>0</v>
      </c>
      <c r="F48" s="255" t="s">
        <v>269</v>
      </c>
      <c r="G48" s="256">
        <v>48</v>
      </c>
      <c r="J48" s="275" t="s">
        <v>409</v>
      </c>
      <c r="K48" s="258" t="s">
        <v>410</v>
      </c>
      <c r="Y48" s="254" t="s">
        <v>461</v>
      </c>
    </row>
    <row r="49" spans="2:25" ht="15.75" x14ac:dyDescent="0.25">
      <c r="B49" s="95" t="s">
        <v>1535</v>
      </c>
      <c r="C49" s="161">
        <f>IF(OR('Ввод исходных данных'!E288&lt;&gt;"Ошибок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1908</v>
      </c>
    </row>
    <row r="50" spans="2:25" ht="15.75" x14ac:dyDescent="0.25">
      <c r="B50" s="95" t="s">
        <v>1536</v>
      </c>
      <c r="C50" s="161">
        <f>IF(OR(SUM('Список мероприятий'!Z6:Z77)&gt;0),1,0)</f>
        <v>0</v>
      </c>
      <c r="D50" s="95" t="s">
        <v>1915</v>
      </c>
      <c r="F50" s="255" t="s">
        <v>2</v>
      </c>
      <c r="G50" s="256">
        <v>50</v>
      </c>
      <c r="J50" s="275" t="s">
        <v>293</v>
      </c>
      <c r="K50" s="258" t="s">
        <v>413</v>
      </c>
      <c r="N50" s="254"/>
      <c r="Y50" s="75" t="s">
        <v>1909</v>
      </c>
    </row>
    <row r="51" spans="2:25" ht="15.75" x14ac:dyDescent="0.25">
      <c r="B51" s="95" t="s">
        <v>1537</v>
      </c>
      <c r="C51" s="161">
        <f>IF(OR(C49&gt;0,C50&gt;0,C52&gt;0),1,0)</f>
        <v>0</v>
      </c>
      <c r="D51" s="95"/>
      <c r="F51" s="250" t="s">
        <v>68</v>
      </c>
      <c r="G51" s="251">
        <v>51</v>
      </c>
      <c r="J51" s="275" t="s">
        <v>293</v>
      </c>
      <c r="K51" s="267" t="s">
        <v>414</v>
      </c>
      <c r="Y51" s="75" t="s">
        <v>1910</v>
      </c>
    </row>
    <row r="52" spans="2:25" ht="15.75" x14ac:dyDescent="0.2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x14ac:dyDescent="0.25">
      <c r="B53" s="75" t="s">
        <v>1911</v>
      </c>
      <c r="C53" s="75">
        <f>IF(AND(C49=0,C52=0),1,0)</f>
        <v>1</v>
      </c>
      <c r="F53" s="250" t="s">
        <v>458</v>
      </c>
      <c r="G53" s="251">
        <v>53</v>
      </c>
      <c r="J53" s="275" t="s">
        <v>293</v>
      </c>
      <c r="K53" s="258" t="s">
        <v>416</v>
      </c>
    </row>
    <row r="54" spans="2:25" ht="17.25" x14ac:dyDescent="0.25">
      <c r="F54" s="255" t="s">
        <v>329</v>
      </c>
      <c r="G54" s="256">
        <v>54</v>
      </c>
      <c r="J54" s="275" t="s">
        <v>293</v>
      </c>
      <c r="K54" s="267" t="s">
        <v>412</v>
      </c>
      <c r="Y54" s="75" t="s">
        <v>1913</v>
      </c>
    </row>
    <row r="55" spans="2:25" ht="17.25" x14ac:dyDescent="0.25">
      <c r="F55" s="250" t="s">
        <v>145</v>
      </c>
      <c r="G55" s="251">
        <v>55</v>
      </c>
      <c r="J55" s="275" t="s">
        <v>419</v>
      </c>
      <c r="K55" s="258" t="s">
        <v>418</v>
      </c>
      <c r="Y55" s="75" t="s">
        <v>1914</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1635</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1634</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1597</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1598</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G63Fk1tDsyk1SzyKrBtaEcSBkVJvfSSrzYoeOvW63sBY4bIQWMQNaSfuvSs2FPRLsu9ErU1iqXZzaUNZ2183mw==" saltValue="rQwqktk/9G6sha1QyYX+lw=="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zoomScale="70" zoomScaleNormal="70" workbookViewId="0">
      <pane ySplit="1" topLeftCell="A224" activePane="bottomLeft" state="frozen"/>
      <selection pane="bottomLeft" activeCell="D140" sqref="D140"/>
    </sheetView>
  </sheetViews>
  <sheetFormatPr defaultRowHeight="15" x14ac:dyDescent="0.25"/>
  <cols>
    <col min="1" max="1" width="0.7109375" style="1292" customWidth="1"/>
    <col min="2" max="2" width="5" style="1480"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x14ac:dyDescent="0.25">
      <c r="A1" s="1292"/>
      <c r="B1" s="1474"/>
      <c r="C1" s="1373" t="s">
        <v>1661</v>
      </c>
      <c r="D1" s="1319"/>
      <c r="E1" s="1374" t="s">
        <v>1654</v>
      </c>
      <c r="F1" s="1532"/>
      <c r="G1" s="1532"/>
      <c r="H1" s="1532"/>
      <c r="I1" s="1532"/>
      <c r="J1" s="1532"/>
      <c r="K1" s="1532"/>
      <c r="L1" s="1532"/>
      <c r="M1" s="1532"/>
      <c r="N1" s="1532"/>
      <c r="O1" s="1532"/>
      <c r="P1" s="1532"/>
      <c r="Q1" s="1532"/>
      <c r="R1" s="1532"/>
      <c r="S1" s="1532"/>
      <c r="T1" s="1532"/>
      <c r="U1" s="1532"/>
      <c r="V1" s="1532"/>
      <c r="W1" s="1532"/>
      <c r="X1" s="1532"/>
      <c r="Y1" s="1532"/>
      <c r="Z1" s="1318"/>
    </row>
    <row r="2" spans="1:26" s="17" customFormat="1" ht="15" customHeight="1" x14ac:dyDescent="0.25">
      <c r="A2" s="1292"/>
      <c r="B2" s="1475"/>
      <c r="C2" s="28"/>
      <c r="D2" s="28"/>
      <c r="E2" s="18" t="s">
        <v>1758</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2"/>
      <c r="B3" s="1475"/>
      <c r="C3" s="1567" t="s">
        <v>1759</v>
      </c>
      <c r="D3" s="1568"/>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2"/>
      <c r="B4" s="1475"/>
      <c r="C4" s="1567"/>
      <c r="D4" s="1568"/>
      <c r="E4" s="11" t="s">
        <v>1815</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2"/>
      <c r="B5" s="1475"/>
      <c r="C5" s="1567"/>
      <c r="D5" s="1568"/>
      <c r="E5" s="25" t="s">
        <v>1752</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2"/>
      <c r="B6" s="1475"/>
      <c r="C6" s="1532"/>
      <c r="D6" s="1568"/>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476">
        <v>0.125</v>
      </c>
      <c r="C8" s="1553" t="s">
        <v>756</v>
      </c>
      <c r="D8" s="1554"/>
      <c r="E8" s="1555"/>
      <c r="F8" s="74"/>
      <c r="G8" s="10"/>
      <c r="H8" s="10"/>
      <c r="I8" s="10"/>
      <c r="J8" s="10"/>
      <c r="K8" s="10"/>
      <c r="L8" s="18"/>
      <c r="M8" s="18"/>
      <c r="N8" s="18"/>
      <c r="O8" s="18"/>
      <c r="P8" s="18"/>
      <c r="Q8" s="18"/>
      <c r="R8" s="18"/>
      <c r="S8" s="18"/>
      <c r="T8" s="18"/>
      <c r="U8" s="18"/>
      <c r="V8" s="18"/>
      <c r="W8" s="18"/>
      <c r="X8" s="18"/>
      <c r="Y8" s="18"/>
      <c r="Z8" s="18"/>
    </row>
    <row r="9" spans="1:26" x14ac:dyDescent="0.25">
      <c r="B9" s="1477">
        <v>1</v>
      </c>
      <c r="C9" s="1286" t="s">
        <v>1867</v>
      </c>
      <c r="D9" s="71" t="s">
        <v>1947</v>
      </c>
      <c r="E9" s="1481"/>
      <c r="F9" s="74"/>
      <c r="G9" s="10"/>
      <c r="H9" s="10"/>
      <c r="I9" s="10"/>
      <c r="J9" s="10"/>
      <c r="K9" s="10"/>
      <c r="L9" s="18"/>
      <c r="M9" s="18"/>
      <c r="N9" s="18"/>
      <c r="O9" s="18"/>
      <c r="P9" s="18"/>
      <c r="Q9" s="18"/>
      <c r="R9" s="18"/>
      <c r="S9" s="18"/>
      <c r="T9" s="18"/>
      <c r="U9" s="18"/>
      <c r="V9" s="18"/>
      <c r="W9" s="18"/>
      <c r="X9" s="18"/>
      <c r="Y9" s="18"/>
      <c r="Z9" s="18"/>
    </row>
    <row r="10" spans="1:26" x14ac:dyDescent="0.25">
      <c r="B10" s="1477">
        <v>2</v>
      </c>
      <c r="C10" s="1286" t="s">
        <v>752</v>
      </c>
      <c r="D10" s="71" t="s">
        <v>229</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477">
        <v>3</v>
      </c>
      <c r="C11" s="1287" t="s">
        <v>753</v>
      </c>
      <c r="D11" s="71" t="s">
        <v>236</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477">
        <v>4</v>
      </c>
      <c r="C12" s="1287" t="s">
        <v>810</v>
      </c>
      <c r="D12" s="71">
        <v>1995</v>
      </c>
      <c r="E12" s="1481" t="s">
        <v>1762</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2"/>
      <c r="B13" s="1499" t="s">
        <v>1916</v>
      </c>
      <c r="C13" s="1495" t="s">
        <v>1907</v>
      </c>
      <c r="D13" s="71" t="str">
        <f>IF(ISBLANK(D12),
        INDEX(snipyear,1),
        IF(D12&lt;=1996,
                INDEX(snipyear,2),
                IF(D12&lt;2001,
                        INDEX(snipyear,3),
                        INDEX(snipyear,4))))</f>
        <v>до 1995 г.</v>
      </c>
      <c r="E13" s="1496" t="s">
        <v>1917</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x14ac:dyDescent="0.25">
      <c r="B14" s="1477">
        <v>5</v>
      </c>
      <c r="C14" s="1287" t="s">
        <v>757</v>
      </c>
      <c r="D14" s="73" t="s">
        <v>446</v>
      </c>
      <c r="E14" s="1482" t="s">
        <v>1765</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2"/>
      <c r="B15" s="1562">
        <v>6</v>
      </c>
      <c r="C15" s="1571"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69"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2"/>
      <c r="B16" s="1562"/>
      <c r="C16" s="1571"/>
      <c r="D16" s="1290" t="s">
        <v>928</v>
      </c>
      <c r="E16" s="1570"/>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477">
        <v>7</v>
      </c>
      <c r="C17" s="1288" t="s">
        <v>1761</v>
      </c>
      <c r="D17" s="71">
        <v>6</v>
      </c>
      <c r="E17" s="1538"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2"/>
      <c r="B18" s="1477">
        <v>8</v>
      </c>
      <c r="C18" s="1288"/>
      <c r="D18" s="1291"/>
      <c r="E18" s="1538"/>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477">
        <v>9</v>
      </c>
      <c r="C19" s="1286" t="s">
        <v>1496</v>
      </c>
      <c r="D19" s="71">
        <v>10</v>
      </c>
      <c r="E19" s="1538"/>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477">
        <v>10</v>
      </c>
      <c r="C20" s="1287" t="s">
        <v>1763</v>
      </c>
      <c r="D20" s="71">
        <v>240</v>
      </c>
      <c r="E20" s="1538"/>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477">
        <v>11</v>
      </c>
      <c r="C21" s="1288" t="s">
        <v>1274</v>
      </c>
      <c r="D21" s="71">
        <v>240</v>
      </c>
      <c r="E21" s="1538"/>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477">
        <v>12</v>
      </c>
      <c r="C22" s="1287" t="s">
        <v>755</v>
      </c>
      <c r="D22" s="71">
        <v>610</v>
      </c>
      <c r="E22" s="1483"/>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477">
        <v>13</v>
      </c>
      <c r="C23" s="1288" t="s">
        <v>1760</v>
      </c>
      <c r="D23" s="72"/>
      <c r="E23" s="1482" t="s">
        <v>1766</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2"/>
      <c r="B24" s="1562">
        <v>14</v>
      </c>
      <c r="C24" s="1534" t="s">
        <v>1516</v>
      </c>
      <c r="D24" s="9"/>
      <c r="E24" s="1566" t="s">
        <v>1767</v>
      </c>
      <c r="F24" s="1542"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2"/>
      <c r="B25" s="1562"/>
      <c r="C25" s="1535"/>
      <c r="D25" s="9"/>
      <c r="E25" s="1566"/>
      <c r="F25" s="1542"/>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2"/>
      <c r="B26" s="1562"/>
      <c r="C26" s="1536"/>
      <c r="D26" s="9"/>
      <c r="E26" s="1566"/>
      <c r="F26" s="1542"/>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477">
        <v>15</v>
      </c>
      <c r="C27" s="1287" t="s">
        <v>519</v>
      </c>
      <c r="D27" s="24"/>
      <c r="E27" s="1482" t="s">
        <v>1764</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2"/>
      <c r="B29" s="1477">
        <v>17</v>
      </c>
      <c r="C29" s="1537"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2"/>
      <c r="B30" s="1477">
        <v>18</v>
      </c>
      <c r="C30" s="1537"/>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2"/>
      <c r="B31" s="1477">
        <v>19</v>
      </c>
      <c r="C31" s="1537"/>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477"/>
      <c r="C32" s="1294" t="s">
        <v>859</v>
      </c>
      <c r="D32" s="1296">
        <f>D33+D34+D35</f>
        <v>636</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477">
        <v>20</v>
      </c>
      <c r="C33" s="1289" t="s">
        <v>762</v>
      </c>
      <c r="D33" s="1295">
        <v>600</v>
      </c>
      <c r="E33" s="1556"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477">
        <v>21</v>
      </c>
      <c r="C34" s="1289" t="s">
        <v>763</v>
      </c>
      <c r="D34" s="72">
        <v>36</v>
      </c>
      <c r="E34" s="1557"/>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2"/>
      <c r="B35" s="1477">
        <f>B34+1</f>
        <v>22</v>
      </c>
      <c r="C35" s="1289" t="s">
        <v>1587</v>
      </c>
      <c r="D35" s="72">
        <v>0</v>
      </c>
      <c r="E35" s="1558"/>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2"/>
      <c r="B38" s="1436"/>
      <c r="C38" s="1543" t="s">
        <v>1811</v>
      </c>
      <c r="D38" s="1543"/>
      <c r="E38" s="1543"/>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2"/>
      <c r="B39" s="1478"/>
      <c r="C39" s="1324"/>
      <c r="D39" s="1372" t="s">
        <v>1768</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2"/>
      <c r="B40" s="1436"/>
      <c r="C40" s="1539" t="s">
        <v>1813</v>
      </c>
      <c r="D40" s="1539"/>
      <c r="E40" s="1539"/>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476">
        <f>2/8</f>
        <v>0.25</v>
      </c>
      <c r="C42" s="1553" t="s">
        <v>1452</v>
      </c>
      <c r="D42" s="1554"/>
      <c r="E42" s="1555"/>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25">
      <c r="B44" s="1477">
        <f>B36+1</f>
        <v>24</v>
      </c>
      <c r="C44" s="1297" t="s">
        <v>1769</v>
      </c>
      <c r="D44" s="1304">
        <v>14594</v>
      </c>
      <c r="E44" s="1485" t="s">
        <v>1780</v>
      </c>
      <c r="F44" s="1438"/>
      <c r="G44" s="1306">
        <f>IF($D$14=списки!$B$3,D44,'Серии планировка'!F76)</f>
        <v>14594</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477">
        <f>B44+1</f>
        <v>25</v>
      </c>
      <c r="C45" s="1294" t="s">
        <v>1770</v>
      </c>
      <c r="D45" s="1304">
        <v>12630</v>
      </c>
      <c r="E45" s="1486" t="s">
        <v>1781</v>
      </c>
      <c r="F45" s="1438" t="str">
        <f>IF(AND(D45&lt;&gt;0,$D$14="нет в списке",D45&gt;=D44),"Ошибка. Значение должно быть меньше общей площади","")</f>
        <v/>
      </c>
      <c r="G45" s="1306">
        <f>IF($D$14=списки!$B$3,D45,'Серии планировка'!G76)</f>
        <v>12630</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2"/>
      <c r="B46" s="1477">
        <f t="shared" ref="B46:B66" si="1">B45+1</f>
        <v>26</v>
      </c>
      <c r="C46" s="1518" t="s">
        <v>1779</v>
      </c>
      <c r="D46" s="1304">
        <v>9000</v>
      </c>
      <c r="E46" s="1486" t="s">
        <v>1782</v>
      </c>
      <c r="F46" s="1438" t="str">
        <f>IF(AND(D46&lt;&gt;0,$D$14="нет в списке",D46&gt;=D45),"Ошибка. Значение должно быть меньше площади квартир","")</f>
        <v/>
      </c>
      <c r="G46" s="1306">
        <f>IF($D$14=списки!$B$3,D46,'Серии планировка'!H76)</f>
        <v>9000</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2"/>
      <c r="B47" s="1477">
        <f>B46+1</f>
        <v>27</v>
      </c>
      <c r="C47" s="1518" t="s">
        <v>1558</v>
      </c>
      <c r="D47" s="1305">
        <v>120</v>
      </c>
      <c r="E47" s="1486" t="s">
        <v>1560</v>
      </c>
      <c r="F47" s="1438"/>
      <c r="G47" s="1307">
        <f>IF($D$14=списки!$B$3,D47,'Серии планировка'!$L$76)</f>
        <v>120</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2"/>
      <c r="B48" s="1477">
        <f t="shared" si="1"/>
        <v>28</v>
      </c>
      <c r="C48" s="1518" t="s">
        <v>1559</v>
      </c>
      <c r="D48" s="1305">
        <v>13</v>
      </c>
      <c r="E48" s="1486" t="s">
        <v>1561</v>
      </c>
      <c r="F48" s="1438"/>
      <c r="G48" s="1306">
        <f>IF($D$14=списки!$B$3,D48,'Серии планировка'!$M$76)</f>
        <v>13</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2"/>
      <c r="B49" s="1477">
        <f t="shared" si="1"/>
        <v>29</v>
      </c>
      <c r="C49" s="1518" t="s">
        <v>1557</v>
      </c>
      <c r="D49" s="1305">
        <v>30</v>
      </c>
      <c r="E49" s="1486" t="s">
        <v>1632</v>
      </c>
      <c r="F49" s="1438"/>
      <c r="G49" s="1306">
        <f>IF($D$14=списки!$B$3,D49,'Серии планировка'!$J$76)</f>
        <v>30</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2"/>
      <c r="B50" s="1477">
        <f t="shared" si="1"/>
        <v>30</v>
      </c>
      <c r="C50" s="1518" t="s">
        <v>1787</v>
      </c>
      <c r="D50" s="1305">
        <v>8000</v>
      </c>
      <c r="E50" s="1486" t="s">
        <v>1786</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8000</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25">
      <c r="B51" s="1477">
        <f t="shared" si="1"/>
        <v>31</v>
      </c>
      <c r="C51" s="1519" t="s">
        <v>1771</v>
      </c>
      <c r="D51" s="1301">
        <f>D50-D53-D56-D59-D66</f>
        <v>5966</v>
      </c>
      <c r="E51" s="1486" t="s">
        <v>1783</v>
      </c>
      <c r="F51" s="1438" t="str">
        <f>IF(AND(D51&lt;&gt;0,$D$14="нет в списке",D51&gt;=D50),"Ошибка. Значение должно быть меньше площади фасадов","")</f>
        <v/>
      </c>
      <c r="G51" s="1308">
        <f>G50-G53-G56-G59-G66</f>
        <v>5966</v>
      </c>
      <c r="H51" s="18"/>
      <c r="I51" s="1306">
        <f t="shared" si="2"/>
        <v>0</v>
      </c>
      <c r="J51" s="10"/>
      <c r="K51" s="10"/>
      <c r="L51" s="18"/>
      <c r="M51" s="18"/>
      <c r="N51" s="18"/>
      <c r="O51" s="18"/>
      <c r="P51" s="18"/>
      <c r="Q51" s="18"/>
      <c r="R51" s="18"/>
      <c r="S51" s="18"/>
      <c r="T51" s="18"/>
      <c r="U51" s="18"/>
      <c r="V51" s="18"/>
      <c r="W51" s="18"/>
      <c r="X51" s="18"/>
      <c r="Y51" s="18"/>
      <c r="Z51" s="18"/>
    </row>
    <row r="52" spans="1:26" ht="36" x14ac:dyDescent="0.25">
      <c r="B52" s="1477">
        <f t="shared" si="1"/>
        <v>32</v>
      </c>
      <c r="C52" s="1294" t="s">
        <v>821</v>
      </c>
      <c r="D52" s="1300">
        <v>780</v>
      </c>
      <c r="E52" s="1486" t="s">
        <v>1784</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780</v>
      </c>
      <c r="H52" s="18"/>
      <c r="I52" s="1306">
        <f t="shared" si="2"/>
        <v>0</v>
      </c>
      <c r="J52" s="10"/>
      <c r="K52" s="10"/>
      <c r="L52" s="18"/>
      <c r="M52" s="18"/>
      <c r="N52" s="18"/>
      <c r="O52" s="18"/>
      <c r="P52" s="18"/>
      <c r="Q52" s="18"/>
      <c r="R52" s="18"/>
      <c r="S52" s="18"/>
      <c r="T52" s="18"/>
      <c r="U52" s="18"/>
      <c r="V52" s="18"/>
      <c r="W52" s="18"/>
      <c r="X52" s="18"/>
      <c r="Y52" s="18"/>
      <c r="Z52" s="18"/>
    </row>
    <row r="53" spans="1:26" ht="17.25" x14ac:dyDescent="0.25">
      <c r="B53" s="1477">
        <f t="shared" si="1"/>
        <v>33</v>
      </c>
      <c r="C53" s="1294" t="s">
        <v>1772</v>
      </c>
      <c r="D53" s="1303">
        <v>1950</v>
      </c>
      <c r="E53" s="1486" t="s">
        <v>1785</v>
      </c>
      <c r="F53" s="1438"/>
      <c r="G53" s="1306">
        <f>IF($D$14=списки!$B$3,D53,'Серии планировка'!T76)</f>
        <v>1950</v>
      </c>
      <c r="H53" s="18"/>
      <c r="I53" s="1306">
        <f t="shared" si="2"/>
        <v>0</v>
      </c>
      <c r="J53" s="10"/>
      <c r="K53" s="10"/>
      <c r="L53" s="18"/>
      <c r="M53" s="18"/>
      <c r="N53" s="18"/>
      <c r="O53" s="18"/>
      <c r="P53" s="18"/>
      <c r="Q53" s="18"/>
      <c r="R53" s="18"/>
      <c r="S53" s="18"/>
      <c r="T53" s="18"/>
      <c r="U53" s="18"/>
      <c r="V53" s="18"/>
      <c r="W53" s="18"/>
      <c r="X53" s="18"/>
      <c r="Y53" s="18"/>
      <c r="Z53" s="18"/>
    </row>
    <row r="54" spans="1:26" ht="30" x14ac:dyDescent="0.25">
      <c r="B54" s="1477">
        <f t="shared" si="1"/>
        <v>34</v>
      </c>
      <c r="C54" s="1518" t="s">
        <v>1278</v>
      </c>
      <c r="D54" s="1298" t="s">
        <v>1948</v>
      </c>
      <c r="E54" s="1486" t="s">
        <v>1789</v>
      </c>
      <c r="F54" s="1438"/>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25">
      <c r="B55" s="1477">
        <f t="shared" si="1"/>
        <v>35</v>
      </c>
      <c r="C55" s="1518" t="s">
        <v>860</v>
      </c>
      <c r="D55" s="1298">
        <v>36</v>
      </c>
      <c r="E55" s="1486" t="s">
        <v>1922</v>
      </c>
      <c r="F55" s="1438"/>
      <c r="G55" s="1306">
        <f>IF($D$14=списки!$B$3,D55,'Серии планировка'!R76)</f>
        <v>36</v>
      </c>
      <c r="H55" s="18"/>
      <c r="I55" s="1306">
        <f t="shared" si="2"/>
        <v>0</v>
      </c>
      <c r="J55" s="10"/>
      <c r="K55" s="18"/>
      <c r="L55" s="18"/>
      <c r="M55" s="18"/>
      <c r="N55" s="18"/>
      <c r="O55" s="18"/>
      <c r="P55" s="18"/>
      <c r="Q55" s="18"/>
      <c r="R55" s="18"/>
      <c r="S55" s="18"/>
      <c r="T55" s="18"/>
      <c r="U55" s="18"/>
      <c r="V55" s="18"/>
      <c r="W55" s="18"/>
      <c r="X55" s="18"/>
      <c r="Y55" s="18"/>
      <c r="Z55" s="18"/>
    </row>
    <row r="56" spans="1:26" ht="24" x14ac:dyDescent="0.25">
      <c r="B56" s="1477">
        <f t="shared" si="1"/>
        <v>36</v>
      </c>
      <c r="C56" s="1286" t="s">
        <v>1773</v>
      </c>
      <c r="D56" s="1302">
        <v>72</v>
      </c>
      <c r="E56" s="1486" t="s">
        <v>1790</v>
      </c>
      <c r="F56" s="1438"/>
      <c r="G56" s="1306">
        <f>IF($D$14=списки!$B$3,D56,'Серии планировка'!U76)</f>
        <v>72</v>
      </c>
      <c r="H56" s="18"/>
      <c r="I56" s="1306">
        <f t="shared" si="2"/>
        <v>0</v>
      </c>
      <c r="J56" s="10"/>
      <c r="K56" s="10"/>
      <c r="L56" s="18"/>
      <c r="M56" s="18"/>
      <c r="N56" s="18"/>
      <c r="O56" s="18"/>
      <c r="P56" s="18"/>
      <c r="Q56" s="18"/>
      <c r="R56" s="18"/>
      <c r="S56" s="18"/>
      <c r="T56" s="18"/>
      <c r="U56" s="18"/>
      <c r="V56" s="18"/>
      <c r="W56" s="18"/>
      <c r="X56" s="18"/>
      <c r="Y56" s="18"/>
      <c r="Z56" s="18"/>
    </row>
    <row r="57" spans="1:26" ht="30" x14ac:dyDescent="0.25">
      <c r="B57" s="1477">
        <f t="shared" si="1"/>
        <v>37</v>
      </c>
      <c r="C57" s="1518" t="s">
        <v>758</v>
      </c>
      <c r="D57" s="1298" t="s">
        <v>1948</v>
      </c>
      <c r="E57" s="1486" t="s">
        <v>1791</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25">
      <c r="A58" s="1292"/>
      <c r="B58" s="1477">
        <f>B57+1</f>
        <v>38</v>
      </c>
      <c r="C58" s="1518" t="s">
        <v>1592</v>
      </c>
      <c r="D58" s="1299"/>
      <c r="E58" s="1486" t="s">
        <v>1792</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25">
      <c r="A59" s="1292"/>
      <c r="B59" s="1477">
        <f>B58+1</f>
        <v>39</v>
      </c>
      <c r="C59" s="1518" t="s">
        <v>1788</v>
      </c>
      <c r="D59" s="1302"/>
      <c r="E59" s="1486" t="s">
        <v>1790</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2.25" x14ac:dyDescent="0.25">
      <c r="B60" s="1477">
        <f t="shared" si="1"/>
        <v>40</v>
      </c>
      <c r="C60" s="1518" t="s">
        <v>1774</v>
      </c>
      <c r="D60" s="1302"/>
      <c r="E60" s="1486" t="s">
        <v>1795</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2"/>
      <c r="B61" s="1477">
        <f t="shared" si="1"/>
        <v>41</v>
      </c>
      <c r="C61" s="1518" t="s">
        <v>1775</v>
      </c>
      <c r="D61" s="1302">
        <v>1460</v>
      </c>
      <c r="E61" s="1486" t="s">
        <v>1793</v>
      </c>
      <c r="F61" s="1438"/>
      <c r="G61" s="1306">
        <f>IF($D$14=списки!$B$3,D61,IF(AND(списки!D31=1,списки!D32=0),'Серии планировка'!X76,0))</f>
        <v>1460</v>
      </c>
      <c r="H61" s="18"/>
      <c r="I61" s="1306">
        <f t="shared" si="2"/>
        <v>0</v>
      </c>
      <c r="J61" s="18"/>
      <c r="K61" s="18"/>
      <c r="L61" s="18"/>
      <c r="M61" s="18"/>
      <c r="N61" s="18"/>
      <c r="O61" s="18"/>
      <c r="P61" s="18"/>
      <c r="Q61" s="18"/>
      <c r="R61" s="18"/>
      <c r="S61" s="18"/>
      <c r="T61" s="18"/>
      <c r="U61" s="18"/>
      <c r="V61" s="18"/>
      <c r="W61" s="18"/>
      <c r="X61" s="18"/>
      <c r="Y61" s="18"/>
      <c r="Z61" s="18"/>
    </row>
    <row r="62" spans="1:26" ht="36" x14ac:dyDescent="0.25">
      <c r="B62" s="1477">
        <f t="shared" si="1"/>
        <v>42</v>
      </c>
      <c r="C62" s="1518" t="s">
        <v>1776</v>
      </c>
      <c r="D62" s="1302"/>
      <c r="E62" s="1486" t="s">
        <v>1794</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25">
      <c r="B63" s="1477">
        <f t="shared" si="1"/>
        <v>43</v>
      </c>
      <c r="C63" s="1518" t="s">
        <v>1777</v>
      </c>
      <c r="D63" s="1302">
        <v>1460</v>
      </c>
      <c r="E63" s="1486" t="s">
        <v>1796</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1460</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2"/>
      <c r="B64" s="1477">
        <f t="shared" si="1"/>
        <v>44</v>
      </c>
      <c r="C64" s="1518" t="s">
        <v>1778</v>
      </c>
      <c r="D64" s="1302"/>
      <c r="E64" s="1486" t="s">
        <v>1797</v>
      </c>
      <c r="F64" s="1438"/>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2"/>
      <c r="B65" s="1477">
        <f t="shared" si="1"/>
        <v>45</v>
      </c>
      <c r="C65" s="1518" t="s">
        <v>1336</v>
      </c>
      <c r="D65" s="1299">
        <v>6</v>
      </c>
      <c r="E65" s="1563" t="s">
        <v>1921</v>
      </c>
      <c r="F65" s="1438" t="str">
        <f>IF(AND(D65&lt;&gt;0,$D$14="нет в списке",OR(D65&lt;D17,D65&gt;4*D17)),"Ошибка. Входных дверей может быть от 1 до 3 на секцию (подъезд)","")</f>
        <v/>
      </c>
      <c r="G65" s="1306">
        <f>IF($D$14=списки!$B$3,D65,'Серии планировка'!V76)</f>
        <v>6</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2"/>
      <c r="B66" s="1477">
        <f t="shared" si="1"/>
        <v>46</v>
      </c>
      <c r="C66" s="1518" t="s">
        <v>1798</v>
      </c>
      <c r="D66" s="1302">
        <v>12</v>
      </c>
      <c r="E66" s="1564"/>
      <c r="F66" s="1438" t="str">
        <f>IF(AND(D66&lt;&gt;0,$D$14="нет в списке",OR(D66&lt;D65*2,D66&gt;=6*D65)),"Ошибка. Площадь одной входной двери должна быть в пределах 2-5 м2","")</f>
        <v/>
      </c>
      <c r="G66" s="1306">
        <f>IF($D$14=списки!$B$3,D66,'Серии планировка'!W76)</f>
        <v>12</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6"/>
      <c r="C67" s="1"/>
      <c r="D67" s="1522"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25">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2"/>
      <c r="B69" s="1436"/>
      <c r="C69" s="1553" t="s">
        <v>1799</v>
      </c>
      <c r="D69" s="1554"/>
      <c r="E69" s="1555"/>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2"/>
      <c r="B70" s="1477">
        <f>B66+1</f>
        <v>47</v>
      </c>
      <c r="C70" s="1313" t="s">
        <v>514</v>
      </c>
      <c r="D70" s="70"/>
      <c r="E70" s="1559"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2"/>
      <c r="B71" s="1477">
        <f>B70+1</f>
        <v>48</v>
      </c>
      <c r="C71" s="1313" t="s">
        <v>1583</v>
      </c>
      <c r="D71" s="70"/>
      <c r="E71" s="1560"/>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2"/>
      <c r="B72" s="1477">
        <f t="shared" ref="B72:B76" si="3">B71+1</f>
        <v>49</v>
      </c>
      <c r="C72" s="1313" t="s">
        <v>1584</v>
      </c>
      <c r="D72" s="70"/>
      <c r="E72" s="1560"/>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2"/>
      <c r="B73" s="1477">
        <f t="shared" si="3"/>
        <v>50</v>
      </c>
      <c r="C73" s="1313" t="s">
        <v>1588</v>
      </c>
      <c r="D73" s="70"/>
      <c r="E73" s="1560"/>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2"/>
      <c r="B74" s="1477">
        <f t="shared" si="3"/>
        <v>51</v>
      </c>
      <c r="C74" s="1313" t="s">
        <v>1585</v>
      </c>
      <c r="D74" s="70"/>
      <c r="E74" s="1560"/>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2"/>
      <c r="B75" s="1477">
        <f t="shared" si="3"/>
        <v>52</v>
      </c>
      <c r="C75" s="1313" t="s">
        <v>1586</v>
      </c>
      <c r="D75" s="70"/>
      <c r="E75" s="1560"/>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2"/>
      <c r="B76" s="1477">
        <f t="shared" si="3"/>
        <v>53</v>
      </c>
      <c r="C76" s="1313" t="s">
        <v>1594</v>
      </c>
      <c r="D76" s="70"/>
      <c r="E76" s="1561"/>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36"/>
      <c r="C77" s="1310" t="s">
        <v>1753</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75"/>
      <c r="B79" s="1476">
        <f>3/8</f>
        <v>0.375</v>
      </c>
      <c r="C79" s="1541" t="s">
        <v>1828</v>
      </c>
      <c r="D79" s="1541"/>
      <c r="E79" s="1541"/>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36"/>
      <c r="C80" s="1565" t="s">
        <v>766</v>
      </c>
      <c r="D80" s="1565"/>
      <c r="E80" s="1565"/>
      <c r="F80" s="74"/>
      <c r="G80" s="1"/>
      <c r="H80" s="1"/>
      <c r="I80" s="1"/>
      <c r="J80" s="10"/>
      <c r="K80" s="10"/>
      <c r="L80" s="18"/>
      <c r="M80" s="18"/>
      <c r="N80" s="18"/>
      <c r="O80" s="18"/>
      <c r="P80" s="18"/>
      <c r="Q80" s="18"/>
      <c r="R80" s="18"/>
      <c r="S80" s="18"/>
      <c r="T80" s="18"/>
      <c r="U80" s="18"/>
      <c r="V80" s="18"/>
      <c r="W80" s="18"/>
      <c r="X80" s="18"/>
      <c r="Y80" s="18"/>
      <c r="Z80" s="18"/>
    </row>
    <row r="81" spans="2:26" x14ac:dyDescent="0.25">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36"/>
      <c r="C82" s="1547" t="s">
        <v>764</v>
      </c>
      <c r="D82" s="1547"/>
      <c r="E82" s="1547"/>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477">
        <f>B76+1</f>
        <v>54</v>
      </c>
      <c r="C83" s="1286" t="s">
        <v>1803</v>
      </c>
      <c r="D83" s="69">
        <v>20</v>
      </c>
      <c r="E83" s="1311" t="s">
        <v>1800</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477">
        <f>B83+1</f>
        <v>55</v>
      </c>
      <c r="C84" s="1286" t="s">
        <v>1805</v>
      </c>
      <c r="D84" s="1314">
        <v>16</v>
      </c>
      <c r="E84" s="1312" t="s">
        <v>1802</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477">
        <f>B84+1</f>
        <v>56</v>
      </c>
      <c r="C85" s="1286" t="s">
        <v>1804</v>
      </c>
      <c r="D85" s="69">
        <f>2</f>
        <v>2</v>
      </c>
      <c r="E85" s="1312" t="s">
        <v>1801</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36"/>
      <c r="C86" s="1540" t="str">
        <f>IF(OR(D83="",D84="",D85=""),"Введите температуры, пользуясь подсказками. Если чердак или подвал отсутствуют, оставьте любое из предлагаемых значений","")</f>
        <v/>
      </c>
      <c r="D86" s="1540"/>
      <c r="E86" s="1540"/>
      <c r="F86" s="74"/>
      <c r="G86" s="1"/>
      <c r="H86" s="1"/>
      <c r="I86" s="1"/>
      <c r="J86" s="10"/>
      <c r="K86" s="10"/>
      <c r="L86" s="18"/>
      <c r="M86" s="18"/>
      <c r="N86" s="18"/>
      <c r="O86" s="18"/>
      <c r="P86" s="18"/>
      <c r="Q86" s="18"/>
      <c r="R86" s="18"/>
      <c r="S86" s="18"/>
      <c r="T86" s="18"/>
      <c r="U86" s="18"/>
      <c r="V86" s="18"/>
      <c r="W86" s="18"/>
      <c r="X86" s="18"/>
      <c r="Y86" s="18"/>
      <c r="Z86" s="18"/>
    </row>
    <row r="87" spans="2:26" x14ac:dyDescent="0.25">
      <c r="B87" s="1436"/>
      <c r="C87" s="1293" t="s">
        <v>765</v>
      </c>
      <c r="D87" s="1"/>
      <c r="E87" s="1293" t="s">
        <v>1812</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25">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36"/>
      <c r="C96" s="1545" t="s">
        <v>784</v>
      </c>
      <c r="D96" s="1545"/>
      <c r="E96" s="1545"/>
      <c r="F96" s="74"/>
      <c r="G96" s="1"/>
      <c r="H96" s="1"/>
      <c r="I96" s="1"/>
      <c r="J96" s="10"/>
      <c r="K96" s="10"/>
      <c r="L96" s="18"/>
      <c r="M96" s="18"/>
      <c r="N96" s="18"/>
      <c r="O96" s="18"/>
      <c r="P96" s="18"/>
      <c r="Q96" s="18"/>
      <c r="R96" s="18"/>
      <c r="S96" s="18"/>
      <c r="T96" s="18"/>
      <c r="U96" s="18"/>
      <c r="V96" s="18"/>
      <c r="W96" s="18"/>
      <c r="X96" s="18"/>
      <c r="Y96" s="18"/>
      <c r="Z96" s="18"/>
    </row>
    <row r="97" spans="1:26" x14ac:dyDescent="0.25">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36"/>
      <c r="C106" s="1547" t="s">
        <v>785</v>
      </c>
      <c r="D106" s="1547"/>
      <c r="E106" s="1547"/>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477">
        <f>D99+1</f>
        <v>61</v>
      </c>
      <c r="C107" s="1500" t="s">
        <v>1912</v>
      </c>
      <c r="D107" s="68">
        <v>60</v>
      </c>
      <c r="E107" s="1316" t="s">
        <v>1918</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477">
        <f>B107+1</f>
        <v>62</v>
      </c>
      <c r="C108" s="1286" t="s">
        <v>1806</v>
      </c>
      <c r="D108" s="68">
        <v>5</v>
      </c>
      <c r="E108" s="1316" t="s">
        <v>1808</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477">
        <f t="shared" ref="B109:B112" si="4">B108+1</f>
        <v>63</v>
      </c>
      <c r="C109" s="1286" t="s">
        <v>1807</v>
      </c>
      <c r="D109" s="68">
        <v>15</v>
      </c>
      <c r="E109" s="1316" t="s">
        <v>1809</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477">
        <f t="shared" si="4"/>
        <v>64</v>
      </c>
      <c r="C110" s="1317" t="s">
        <v>1810</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01" t="s">
        <v>1919</v>
      </c>
      <c r="C113" s="1286" t="s">
        <v>1920</v>
      </c>
      <c r="D113" s="68">
        <v>8</v>
      </c>
      <c r="E113" s="1316" t="s">
        <v>1923</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36"/>
      <c r="C114" s="1546" t="str">
        <f>IF(OR(C107="",D107="",D108="",D109="",D110="",D111="",D112=""),"Заполните таблицу","")</f>
        <v/>
      </c>
      <c r="D114" s="1546"/>
      <c r="E114" s="1546"/>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2"/>
      <c r="B127" s="1436"/>
      <c r="C127" s="1545" t="s">
        <v>972</v>
      </c>
      <c r="D127" s="1545"/>
      <c r="E127" s="1545"/>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2"/>
      <c r="B129" s="1436"/>
      <c r="C129" s="1533" t="s">
        <v>1003</v>
      </c>
      <c r="D129" s="1533"/>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2"/>
      <c r="B130" s="1436"/>
      <c r="C130" s="1332" t="s">
        <v>1814</v>
      </c>
      <c r="D130" s="1332" t="s">
        <v>1903</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2"/>
      <c r="B131" s="1477">
        <f>B125+1</f>
        <v>70</v>
      </c>
      <c r="C131" s="1328" t="s">
        <v>1817</v>
      </c>
      <c r="D131" s="1330">
        <v>2920</v>
      </c>
      <c r="E131" s="1548" t="s">
        <v>983</v>
      </c>
      <c r="F131" s="1331" t="s">
        <v>977</v>
      </c>
      <c r="G131" s="68">
        <v>6</v>
      </c>
      <c r="H131" s="68">
        <v>150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2"/>
      <c r="B132" s="1477">
        <f>B131+1</f>
        <v>71</v>
      </c>
      <c r="C132" s="1328" t="s">
        <v>1818</v>
      </c>
      <c r="D132" s="1330">
        <v>2920</v>
      </c>
      <c r="E132" s="1549"/>
      <c r="F132" s="1331" t="s">
        <v>977</v>
      </c>
      <c r="G132" s="68">
        <v>120</v>
      </c>
      <c r="H132" s="68">
        <v>100</v>
      </c>
      <c r="I132" s="1331"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2"/>
      <c r="B133" s="1477">
        <f t="shared" ref="B133:B135" si="5">B132+1</f>
        <v>72</v>
      </c>
      <c r="C133" s="1328" t="s">
        <v>1819</v>
      </c>
      <c r="D133" s="1330">
        <v>4380</v>
      </c>
      <c r="E133" s="1520" t="s">
        <v>986</v>
      </c>
      <c r="F133" s="1331" t="s">
        <v>977</v>
      </c>
      <c r="G133" s="68">
        <v>120</v>
      </c>
      <c r="H133" s="68">
        <v>100</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2"/>
      <c r="B134" s="1477">
        <f t="shared" si="5"/>
        <v>73</v>
      </c>
      <c r="C134" s="1328" t="s">
        <v>1816</v>
      </c>
      <c r="D134" s="1330">
        <v>300</v>
      </c>
      <c r="E134" s="1520" t="s">
        <v>987</v>
      </c>
      <c r="F134" s="1331" t="s">
        <v>977</v>
      </c>
      <c r="G134" s="68">
        <v>6</v>
      </c>
      <c r="H134" s="68">
        <v>100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2"/>
      <c r="B135" s="1477">
        <f t="shared" si="5"/>
        <v>74</v>
      </c>
      <c r="C135" s="1328" t="s">
        <v>1469</v>
      </c>
      <c r="D135" s="1330">
        <v>100</v>
      </c>
      <c r="E135" s="1520" t="s">
        <v>988</v>
      </c>
      <c r="F135" s="1331" t="s">
        <v>977</v>
      </c>
      <c r="G135" s="68">
        <v>6</v>
      </c>
      <c r="H135" s="68">
        <v>100</v>
      </c>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2"/>
      <c r="B137" s="1436"/>
      <c r="C137" s="1533" t="s">
        <v>1470</v>
      </c>
      <c r="D137" s="1533"/>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2"/>
      <c r="B138" s="1477">
        <f>B135+1</f>
        <v>75</v>
      </c>
      <c r="C138" s="1285" t="s">
        <v>989</v>
      </c>
      <c r="D138" s="68">
        <v>6</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2"/>
      <c r="B140" s="1477">
        <f t="shared" ref="B140:B141" si="6">B139+1</f>
        <v>77</v>
      </c>
      <c r="C140" s="1285" t="s">
        <v>1280</v>
      </c>
      <c r="D140" s="68">
        <v>50</v>
      </c>
      <c r="E140" s="1334"/>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2"/>
      <c r="B141" s="1477">
        <f t="shared" si="6"/>
        <v>78</v>
      </c>
      <c r="C141" s="1285" t="s">
        <v>1900</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2"/>
      <c r="B143" s="1436"/>
      <c r="C143" s="1533" t="s">
        <v>1471</v>
      </c>
      <c r="D143" s="1533"/>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2"/>
      <c r="B144" s="1477">
        <f>B141+1</f>
        <v>79</v>
      </c>
      <c r="C144" s="1338" t="s">
        <v>1820</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2"/>
      <c r="B147" s="1477">
        <f t="shared" si="7"/>
        <v>82</v>
      </c>
      <c r="C147" s="1337" t="s">
        <v>1901</v>
      </c>
      <c r="D147" s="1342">
        <f>IFERROR('Расчет базового уровня'!D146*24,"")</f>
        <v>5304</v>
      </c>
      <c r="E147" s="1490" t="s">
        <v>1866</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2"/>
      <c r="B148" s="1477">
        <f t="shared" si="7"/>
        <v>83</v>
      </c>
      <c r="C148" s="1338" t="s">
        <v>1520</v>
      </c>
      <c r="D148" s="1340"/>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2"/>
      <c r="B150" s="1477">
        <f t="shared" si="7"/>
        <v>85</v>
      </c>
      <c r="C150" s="1336" t="s">
        <v>1320</v>
      </c>
      <c r="D150" s="1341"/>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2"/>
      <c r="B151" s="1477">
        <f t="shared" si="7"/>
        <v>86</v>
      </c>
      <c r="C151" s="1337" t="s">
        <v>1901</v>
      </c>
      <c r="D151" s="1342">
        <f>(365-D110)*24</f>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2"/>
      <c r="B155" s="1477">
        <f t="shared" si="7"/>
        <v>90</v>
      </c>
      <c r="C155" s="1337" t="s">
        <v>1901</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2"/>
      <c r="B158" s="1436"/>
      <c r="C158" s="1550" t="s">
        <v>1472</v>
      </c>
      <c r="D158" s="1550"/>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2"/>
      <c r="B159" s="1477">
        <f>B155+1</f>
        <v>91</v>
      </c>
      <c r="C159" s="1285" t="s">
        <v>1385</v>
      </c>
      <c r="D159" s="68"/>
      <c r="E159" s="1551"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2"/>
      <c r="B160" s="1477">
        <f>B159+1</f>
        <v>92</v>
      </c>
      <c r="C160" s="1328" t="s">
        <v>1902</v>
      </c>
      <c r="D160" s="68"/>
      <c r="E160" s="1552"/>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2"/>
      <c r="B163" s="1476">
        <f>4/8</f>
        <v>0.5</v>
      </c>
      <c r="C163" s="1541" t="s">
        <v>1829</v>
      </c>
      <c r="D163" s="1541"/>
      <c r="E163" s="1541"/>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2"/>
      <c r="B165" s="1477">
        <f>B160+1</f>
        <v>93</v>
      </c>
      <c r="C165" s="1346" t="s">
        <v>1823</v>
      </c>
      <c r="D165" s="1524"/>
      <c r="E165" s="1604"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2"/>
      <c r="B166" s="1477">
        <f>B165+1</f>
        <v>94</v>
      </c>
      <c r="C166" s="1347" t="s">
        <v>1822</v>
      </c>
      <c r="D166" s="1524"/>
      <c r="E166" s="1605"/>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2"/>
      <c r="B167" s="1477">
        <f t="shared" ref="B167:B168" si="8">B166+1</f>
        <v>95</v>
      </c>
      <c r="C167" s="1347" t="s">
        <v>1825</v>
      </c>
      <c r="D167" s="1524"/>
      <c r="E167" s="1605"/>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2"/>
      <c r="B168" s="1477">
        <f t="shared" si="8"/>
        <v>96</v>
      </c>
      <c r="C168" s="1348" t="s">
        <v>1824</v>
      </c>
      <c r="D168" s="68"/>
      <c r="E168" s="1606"/>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2"/>
      <c r="B171" s="1477"/>
      <c r="C171" s="1614" t="s">
        <v>1821</v>
      </c>
      <c r="D171" s="1615"/>
      <c r="E171" s="1604"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2"/>
      <c r="B172" s="1477">
        <v>97</v>
      </c>
      <c r="C172" s="1344" t="s">
        <v>992</v>
      </c>
      <c r="D172" s="68"/>
      <c r="E172" s="1605"/>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2"/>
      <c r="B173" s="1477">
        <f t="shared" ref="B173" si="9">B172+1</f>
        <v>98</v>
      </c>
      <c r="C173" s="1344" t="s">
        <v>993</v>
      </c>
      <c r="D173" s="68"/>
      <c r="E173" s="1606"/>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2"/>
      <c r="B176" s="1477"/>
      <c r="C176" s="1614" t="s">
        <v>994</v>
      </c>
      <c r="D176" s="1615"/>
      <c r="E176" s="1604"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2"/>
      <c r="B177" s="1477">
        <v>99</v>
      </c>
      <c r="C177" s="1286" t="s">
        <v>1826</v>
      </c>
      <c r="D177" s="69">
        <v>115</v>
      </c>
      <c r="E177" s="1605"/>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2"/>
      <c r="B178" s="1477">
        <f t="shared" ref="B178" si="10">B177+1</f>
        <v>100</v>
      </c>
      <c r="C178" s="1286" t="s">
        <v>1827</v>
      </c>
      <c r="D178" s="69">
        <v>70</v>
      </c>
      <c r="E178" s="1606"/>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2"/>
      <c r="B183" s="1475"/>
      <c r="C183" s="1611" t="s">
        <v>1833</v>
      </c>
      <c r="D183" s="1611"/>
      <c r="E183" s="1611"/>
      <c r="F183" s="1611"/>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2"/>
      <c r="B184" s="1475"/>
      <c r="C184" s="1583" t="s">
        <v>995</v>
      </c>
      <c r="D184" s="1609" t="s">
        <v>996</v>
      </c>
      <c r="E184" s="1610"/>
      <c r="F184" s="1610"/>
      <c r="G184" s="74"/>
      <c r="H184" s="74"/>
      <c r="I184" s="74"/>
      <c r="J184" s="1608" t="s">
        <v>1528</v>
      </c>
      <c r="K184" s="1608"/>
      <c r="L184" s="18"/>
      <c r="M184" s="18"/>
      <c r="N184" s="18"/>
      <c r="O184" s="18"/>
      <c r="P184" s="18"/>
      <c r="Q184" s="18"/>
      <c r="R184" s="18"/>
      <c r="S184" s="18"/>
      <c r="T184" s="18"/>
      <c r="U184" s="18"/>
      <c r="V184" s="18"/>
      <c r="W184" s="18"/>
      <c r="X184" s="18"/>
      <c r="Y184" s="18"/>
      <c r="Z184" s="18"/>
    </row>
    <row r="185" spans="1:26" s="8" customFormat="1" ht="47.25" x14ac:dyDescent="0.25">
      <c r="A185" s="1292"/>
      <c r="B185" s="1475"/>
      <c r="C185" s="1583"/>
      <c r="D185" s="1349" t="s">
        <v>1832</v>
      </c>
      <c r="E185" s="1349" t="s">
        <v>1831</v>
      </c>
      <c r="F185" s="1349" t="s">
        <v>1830</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2"/>
      <c r="B186" s="1477">
        <f>B178+1</f>
        <v>101</v>
      </c>
      <c r="C186" s="1351" t="s">
        <v>488</v>
      </c>
      <c r="D186" s="1514">
        <v>454</v>
      </c>
      <c r="E186" s="1887">
        <v>353</v>
      </c>
      <c r="F186" s="1888">
        <v>101</v>
      </c>
      <c r="G186" s="1542"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353</v>
      </c>
      <c r="K186" s="1444">
        <f>IF('Система ГВС'!F3=2,0,IF(F186=0,(F206*(1+IF($C$107=списки!$Y$54,'Расчет базового уровня'!$D$176,0))*($D$107-IF(F252&gt;150,$D$108,$D$109))+E206*$D$113)/1000,F186))</f>
        <v>101</v>
      </c>
      <c r="L186" s="18"/>
      <c r="M186" s="18"/>
      <c r="N186" s="18"/>
      <c r="O186" s="18"/>
      <c r="P186" s="18"/>
      <c r="Q186" s="18"/>
      <c r="R186" s="18"/>
      <c r="S186" s="18"/>
      <c r="T186" s="18"/>
      <c r="U186" s="18"/>
      <c r="V186" s="18"/>
      <c r="W186" s="18"/>
      <c r="X186" s="18"/>
      <c r="Y186" s="18"/>
      <c r="Z186" s="18"/>
    </row>
    <row r="187" spans="1:26" s="8" customFormat="1" ht="15" customHeight="1" x14ac:dyDescent="0.25">
      <c r="A187" s="1292"/>
      <c r="B187" s="1477">
        <f>B186+1</f>
        <v>102</v>
      </c>
      <c r="C187" s="1352" t="s">
        <v>489</v>
      </c>
      <c r="D187" s="1515">
        <f t="shared" ref="D187:D197" si="11">E187+F187</f>
        <v>447</v>
      </c>
      <c r="E187" s="1889">
        <v>348</v>
      </c>
      <c r="F187" s="1890">
        <v>99</v>
      </c>
      <c r="G187" s="1542"/>
      <c r="H187" s="74"/>
      <c r="I187" s="74"/>
      <c r="J187" s="1443">
        <f t="shared" ref="J187:J197" si="12">IF(E187="",D187-K187,E187)</f>
        <v>348</v>
      </c>
      <c r="K187" s="1444">
        <f>IF('Система ГВС'!F4=2,0,IF(F187=0,(F207*(1+IF($C$107=списки!$Y$54,'Расчет базового уровня'!$D$176,0))*($D$107-IF(F253&gt;150,$D$108,$D$109))+E207*$D$113)/1000,F187))</f>
        <v>99</v>
      </c>
      <c r="L187" s="18"/>
      <c r="M187" s="18"/>
      <c r="N187" s="18"/>
      <c r="O187" s="18"/>
      <c r="P187" s="18"/>
      <c r="Q187" s="18"/>
      <c r="R187" s="18"/>
      <c r="S187" s="18"/>
      <c r="T187" s="18"/>
      <c r="U187" s="18"/>
      <c r="V187" s="18"/>
      <c r="W187" s="18"/>
      <c r="X187" s="18"/>
      <c r="Y187" s="18"/>
      <c r="Z187" s="18"/>
    </row>
    <row r="188" spans="1:26" s="8" customFormat="1" ht="15" customHeight="1" x14ac:dyDescent="0.25">
      <c r="A188" s="1292"/>
      <c r="B188" s="1477">
        <f t="shared" ref="B188:B197" si="13">B187+1</f>
        <v>103</v>
      </c>
      <c r="C188" s="1352" t="s">
        <v>490</v>
      </c>
      <c r="D188" s="1515">
        <f t="shared" si="11"/>
        <v>330.214</v>
      </c>
      <c r="E188" s="1889">
        <v>246.77199999999999</v>
      </c>
      <c r="F188" s="1890">
        <v>83.441999999999993</v>
      </c>
      <c r="G188" s="1542"/>
      <c r="H188" s="74"/>
      <c r="I188" s="74"/>
      <c r="J188" s="1443">
        <f t="shared" si="12"/>
        <v>246.77199999999999</v>
      </c>
      <c r="K188" s="1444">
        <f>IF('Система ГВС'!F5=2,0,IF(F188=0,(F208*(1+IF($C$107=списки!$Y$54,'Расчет базового уровня'!$D$176,0))*($D$107-IF(F254&gt;150,$D$108,$D$109))+E208*$D$113)/1000,F188))</f>
        <v>83.441999999999993</v>
      </c>
      <c r="L188" s="18"/>
      <c r="M188" s="18"/>
      <c r="N188" s="18"/>
      <c r="O188" s="18"/>
      <c r="P188" s="18"/>
      <c r="Q188" s="18"/>
      <c r="R188" s="18"/>
      <c r="S188" s="18"/>
      <c r="T188" s="18"/>
      <c r="U188" s="18"/>
      <c r="V188" s="18"/>
      <c r="W188" s="18"/>
      <c r="X188" s="18"/>
      <c r="Y188" s="18"/>
      <c r="Z188" s="18"/>
    </row>
    <row r="189" spans="1:26" s="8" customFormat="1" ht="15" customHeight="1" x14ac:dyDescent="0.25">
      <c r="A189" s="1292"/>
      <c r="B189" s="1477">
        <f t="shared" si="13"/>
        <v>104</v>
      </c>
      <c r="C189" s="1352" t="s">
        <v>491</v>
      </c>
      <c r="D189" s="1515">
        <f t="shared" si="11"/>
        <v>305</v>
      </c>
      <c r="E189" s="1889">
        <v>225</v>
      </c>
      <c r="F189" s="1890">
        <v>80</v>
      </c>
      <c r="G189" s="1542"/>
      <c r="H189" s="74"/>
      <c r="I189" s="74"/>
      <c r="J189" s="1443">
        <f t="shared" si="12"/>
        <v>225</v>
      </c>
      <c r="K189" s="1444">
        <f>IF('Система ГВС'!F6=2,0,IF(F189=0,(F209*(1+IF($C$107=списки!$Y$54,'Расчет базового уровня'!$D$176,0))*($D$107-IF(F255&gt;150,$D$108,$D$109))+E209*$D$113)/1000,F189))</f>
        <v>80</v>
      </c>
      <c r="L189" s="18"/>
      <c r="M189" s="18"/>
      <c r="N189" s="18"/>
      <c r="O189" s="18"/>
      <c r="P189" s="18"/>
      <c r="Q189" s="18"/>
      <c r="R189" s="18"/>
      <c r="S189" s="18"/>
      <c r="T189" s="18"/>
      <c r="U189" s="18"/>
      <c r="V189" s="18"/>
      <c r="W189" s="18"/>
      <c r="X189" s="18"/>
      <c r="Y189" s="18"/>
      <c r="Z189" s="18"/>
    </row>
    <row r="190" spans="1:26" s="8" customFormat="1" ht="15" customHeight="1" x14ac:dyDescent="0.25">
      <c r="A190" s="1292"/>
      <c r="B190" s="1477">
        <f t="shared" si="13"/>
        <v>105</v>
      </c>
      <c r="C190" s="1352" t="s">
        <v>805</v>
      </c>
      <c r="D190" s="1515">
        <f t="shared" si="11"/>
        <v>200</v>
      </c>
      <c r="E190" s="1889">
        <v>120</v>
      </c>
      <c r="F190" s="1891">
        <v>80</v>
      </c>
      <c r="G190" s="1542"/>
      <c r="H190" s="74"/>
      <c r="I190" s="74"/>
      <c r="J190" s="1443">
        <f t="shared" si="12"/>
        <v>120</v>
      </c>
      <c r="K190" s="1444">
        <f>IF('Система ГВС'!F7=2,0,IF(F190=0,(F210*(1+IF($C$107=списки!$Y$54,'Расчет базового уровня'!$D$176,0))*($D$107-IF(F256&gt;150,$D$108,$D$109))+E210*$D$113)/1000,F190))</f>
        <v>80</v>
      </c>
      <c r="L190" s="18"/>
      <c r="M190" s="18"/>
      <c r="N190" s="18"/>
      <c r="O190" s="18"/>
      <c r="P190" s="18"/>
      <c r="Q190" s="18"/>
      <c r="R190" s="18"/>
      <c r="S190" s="18"/>
      <c r="T190" s="18"/>
      <c r="U190" s="18"/>
      <c r="V190" s="18"/>
      <c r="W190" s="18"/>
      <c r="X190" s="18"/>
      <c r="Y190" s="18"/>
      <c r="Z190" s="18"/>
    </row>
    <row r="191" spans="1:26" s="8" customFormat="1" ht="15" customHeight="1" x14ac:dyDescent="0.25">
      <c r="A191" s="1292"/>
      <c r="B191" s="1477">
        <f t="shared" si="13"/>
        <v>106</v>
      </c>
      <c r="C191" s="1352" t="s">
        <v>806</v>
      </c>
      <c r="D191" s="1515">
        <f t="shared" si="11"/>
        <v>80</v>
      </c>
      <c r="E191" s="1889"/>
      <c r="F191" s="1891">
        <v>80</v>
      </c>
      <c r="G191" s="1542"/>
      <c r="H191" s="74"/>
      <c r="I191" s="74"/>
      <c r="J191" s="1443">
        <f t="shared" si="12"/>
        <v>0</v>
      </c>
      <c r="K191" s="1444">
        <f>IF('Система ГВС'!F8=2,0,IF(F191=0,(F211*(1+IF($C$107=списки!$Y$54,'Расчет базового уровня'!$D$176,0))*($D$107-IF(F257&gt;150,$D$108,$D$109))+E211*$D$113)/1000,F191))</f>
        <v>80</v>
      </c>
      <c r="L191" s="18"/>
      <c r="M191" s="18"/>
      <c r="N191" s="18"/>
      <c r="O191" s="18"/>
      <c r="P191" s="18"/>
      <c r="Q191" s="18"/>
      <c r="R191" s="18"/>
      <c r="S191" s="18"/>
      <c r="T191" s="18"/>
      <c r="U191" s="18"/>
      <c r="V191" s="18"/>
      <c r="W191" s="18"/>
      <c r="X191" s="18"/>
      <c r="Y191" s="18"/>
      <c r="Z191" s="18"/>
    </row>
    <row r="192" spans="1:26" s="8" customFormat="1" ht="15" customHeight="1" x14ac:dyDescent="0.25">
      <c r="A192" s="1292"/>
      <c r="B192" s="1477">
        <f t="shared" si="13"/>
        <v>107</v>
      </c>
      <c r="C192" s="1352" t="s">
        <v>807</v>
      </c>
      <c r="D192" s="1515">
        <f t="shared" si="11"/>
        <v>80</v>
      </c>
      <c r="E192" s="1889"/>
      <c r="F192" s="1891">
        <v>80</v>
      </c>
      <c r="G192" s="1542"/>
      <c r="H192" s="74"/>
      <c r="I192" s="74"/>
      <c r="J192" s="1443">
        <f t="shared" si="12"/>
        <v>0</v>
      </c>
      <c r="K192" s="1444">
        <f>IF('Система ГВС'!F9=2,0,IF(F192=0,(F212*(1+IF($C$107=списки!$Y$54,'Расчет базового уровня'!$D$176,0))*($D$107-IF(F258&gt;150,$D$108,$D$109))+E212*$D$113)/1000,F192))</f>
        <v>80</v>
      </c>
      <c r="L192" s="18"/>
      <c r="M192" s="18"/>
      <c r="N192" s="18"/>
      <c r="O192" s="18"/>
      <c r="P192" s="18"/>
      <c r="Q192" s="18"/>
      <c r="R192" s="18"/>
      <c r="S192" s="18"/>
      <c r="T192" s="18"/>
      <c r="U192" s="18"/>
      <c r="V192" s="18"/>
      <c r="W192" s="18"/>
      <c r="X192" s="18"/>
      <c r="Y192" s="18"/>
      <c r="Z192" s="18"/>
    </row>
    <row r="193" spans="1:34" s="8" customFormat="1" ht="15" customHeight="1" x14ac:dyDescent="0.25">
      <c r="A193" s="1292"/>
      <c r="B193" s="1477">
        <f t="shared" si="13"/>
        <v>108</v>
      </c>
      <c r="C193" s="1352" t="s">
        <v>808</v>
      </c>
      <c r="D193" s="1515">
        <f t="shared" si="11"/>
        <v>80</v>
      </c>
      <c r="E193" s="1889"/>
      <c r="F193" s="1891">
        <v>80</v>
      </c>
      <c r="G193" s="1542"/>
      <c r="H193" s="74"/>
      <c r="I193" s="74"/>
      <c r="J193" s="1443">
        <f t="shared" si="12"/>
        <v>0</v>
      </c>
      <c r="K193" s="1444">
        <f>IF('Система ГВС'!F10=2,0,IF(F193=0,(F213*(1+IF($C$107=списки!$Y$54,'Расчет базового уровня'!$D$176,0))*($D$107-IF(F259&gt;150,$D$108,$D$109))+E213*$D$113)/1000,F193))</f>
        <v>80</v>
      </c>
      <c r="L193" s="18"/>
      <c r="M193" s="18"/>
      <c r="N193" s="18"/>
      <c r="O193" s="18"/>
      <c r="P193" s="18"/>
      <c r="Q193" s="18"/>
      <c r="R193" s="18"/>
      <c r="S193" s="18"/>
      <c r="T193" s="18"/>
      <c r="U193" s="18"/>
      <c r="V193" s="18"/>
      <c r="W193" s="18"/>
      <c r="X193" s="18"/>
      <c r="Y193" s="18"/>
      <c r="Z193" s="18"/>
    </row>
    <row r="194" spans="1:34" s="8" customFormat="1" ht="15" customHeight="1" x14ac:dyDescent="0.25">
      <c r="A194" s="1292"/>
      <c r="B194" s="1477">
        <f t="shared" si="13"/>
        <v>109</v>
      </c>
      <c r="C194" s="1352" t="s">
        <v>809</v>
      </c>
      <c r="D194" s="1515">
        <f t="shared" si="11"/>
        <v>81</v>
      </c>
      <c r="E194" s="1889">
        <v>1</v>
      </c>
      <c r="F194" s="1891">
        <v>80</v>
      </c>
      <c r="G194" s="1542"/>
      <c r="H194" s="74"/>
      <c r="I194" s="74"/>
      <c r="J194" s="1443">
        <f t="shared" si="12"/>
        <v>1</v>
      </c>
      <c r="K194" s="1444">
        <f>IF('Система ГВС'!F11=2,0,IF(F194=0,(F214*(1+IF($C$107=списки!$Y$54,'Расчет базового уровня'!$D$176,0))*($D$107-IF(F260&gt;150,$D$108,$D$109))+E214*$D$113)/1000,F194))</f>
        <v>80</v>
      </c>
      <c r="L194" s="18"/>
      <c r="M194" s="18"/>
      <c r="N194" s="18"/>
      <c r="O194" s="18"/>
      <c r="P194" s="18"/>
      <c r="Q194" s="18"/>
      <c r="R194" s="18"/>
      <c r="S194" s="18"/>
      <c r="T194" s="18"/>
      <c r="U194" s="18"/>
      <c r="V194" s="18"/>
      <c r="W194" s="18"/>
      <c r="X194" s="18"/>
      <c r="Y194" s="18"/>
      <c r="Z194" s="18"/>
    </row>
    <row r="195" spans="1:34" s="8" customFormat="1" ht="15" customHeight="1" x14ac:dyDescent="0.25">
      <c r="A195" s="1292"/>
      <c r="B195" s="1477">
        <f t="shared" si="13"/>
        <v>110</v>
      </c>
      <c r="C195" s="1352" t="s">
        <v>482</v>
      </c>
      <c r="D195" s="1515">
        <f t="shared" si="11"/>
        <v>220</v>
      </c>
      <c r="E195" s="1889">
        <v>140</v>
      </c>
      <c r="F195" s="1890">
        <v>80</v>
      </c>
      <c r="G195" s="1542"/>
      <c r="H195" s="74"/>
      <c r="I195" s="74"/>
      <c r="J195" s="1443">
        <f t="shared" si="12"/>
        <v>140</v>
      </c>
      <c r="K195" s="1444">
        <f>IF('Система ГВС'!F12=2,0,IF(F195=0,(F215*(1+IF($C$107=списки!$Y$54,'Расчет базового уровня'!$D$176,0))*($D$107-IF(F261&gt;150,$D$108,$D$109))+E215*$D$113)/1000,F195))</f>
        <v>80</v>
      </c>
      <c r="L195" s="18"/>
      <c r="M195" s="18"/>
      <c r="N195" s="18"/>
      <c r="O195" s="18"/>
      <c r="P195" s="18"/>
      <c r="Q195" s="18"/>
      <c r="R195" s="18"/>
      <c r="S195" s="18"/>
      <c r="T195" s="18"/>
      <c r="U195" s="18"/>
      <c r="V195" s="18"/>
      <c r="W195" s="18"/>
      <c r="X195" s="18"/>
      <c r="Y195" s="18"/>
      <c r="Z195" s="18"/>
    </row>
    <row r="196" spans="1:34" s="8" customFormat="1" ht="15" customHeight="1" x14ac:dyDescent="0.25">
      <c r="A196" s="1292"/>
      <c r="B196" s="1477">
        <f t="shared" si="13"/>
        <v>111</v>
      </c>
      <c r="C196" s="1352" t="s">
        <v>486</v>
      </c>
      <c r="D196" s="1515">
        <f t="shared" si="11"/>
        <v>452</v>
      </c>
      <c r="E196" s="1889">
        <v>350</v>
      </c>
      <c r="F196" s="1890">
        <v>102</v>
      </c>
      <c r="G196" s="1542"/>
      <c r="H196" s="74"/>
      <c r="I196" s="74"/>
      <c r="J196" s="1443">
        <f t="shared" si="12"/>
        <v>350</v>
      </c>
      <c r="K196" s="1444">
        <f>IF('Система ГВС'!F13=2,0,IF(F196=0,(F216*(1+IF($C$107=списки!$Y$54,'Расчет базового уровня'!$D$176,0))*($D$107-IF(F262&gt;150,$D$108,$D$109))+E216*$D$113)/1000,F196))</f>
        <v>102</v>
      </c>
      <c r="L196" s="18"/>
      <c r="M196" s="18"/>
      <c r="N196" s="18"/>
      <c r="O196" s="18"/>
      <c r="P196" s="18"/>
      <c r="Q196" s="18"/>
      <c r="R196" s="18"/>
      <c r="S196" s="18"/>
      <c r="T196" s="18"/>
      <c r="U196" s="18"/>
      <c r="V196" s="18"/>
      <c r="W196" s="18"/>
      <c r="X196" s="18"/>
      <c r="Y196" s="18"/>
      <c r="Z196" s="18"/>
    </row>
    <row r="197" spans="1:34" s="8" customFormat="1" ht="15" customHeight="1" x14ac:dyDescent="0.25">
      <c r="A197" s="1292"/>
      <c r="B197" s="1477">
        <f t="shared" si="13"/>
        <v>112</v>
      </c>
      <c r="C197" s="1353" t="s">
        <v>487</v>
      </c>
      <c r="D197" s="1516">
        <f t="shared" si="11"/>
        <v>431</v>
      </c>
      <c r="E197" s="1892">
        <v>335</v>
      </c>
      <c r="F197" s="1893">
        <v>96</v>
      </c>
      <c r="G197" s="1542"/>
      <c r="H197" s="74"/>
      <c r="I197" s="74"/>
      <c r="J197" s="1443">
        <f t="shared" si="12"/>
        <v>335</v>
      </c>
      <c r="K197" s="1444">
        <f>IF('Система ГВС'!F14=2,0,IF(F197=0,(F217*(1+IF($C$107=списки!$Y$54,'Расчет базового уровня'!$D$176,0))*($D$107-IF(F263&gt;150,$D$108,$D$109))+E217*$D$113)/1000,F197))</f>
        <v>96</v>
      </c>
      <c r="L197" s="18"/>
      <c r="M197" s="18"/>
      <c r="N197" s="18"/>
      <c r="O197" s="18"/>
      <c r="P197" s="18"/>
      <c r="Q197" s="18"/>
      <c r="R197" s="18"/>
      <c r="S197" s="18"/>
      <c r="T197" s="18"/>
      <c r="U197" s="18"/>
      <c r="V197" s="18"/>
      <c r="W197" s="18"/>
      <c r="X197" s="18"/>
      <c r="Y197" s="18"/>
      <c r="Z197" s="18"/>
    </row>
    <row r="198" spans="1:34" s="8" customFormat="1" ht="15" customHeight="1" x14ac:dyDescent="0.25">
      <c r="A198" s="1292"/>
      <c r="B198" s="1475"/>
      <c r="C198" s="1350" t="s">
        <v>1000</v>
      </c>
      <c r="D198" s="1431">
        <f>SUM(D186:D197)</f>
        <v>3160.2139999999999</v>
      </c>
      <c r="E198" s="1431">
        <f>SUM(E186:E197)</f>
        <v>2118.7719999999999</v>
      </c>
      <c r="F198" s="1431">
        <f>SUM(F186:F197)</f>
        <v>1041.442</v>
      </c>
      <c r="G198" s="74"/>
      <c r="H198" s="74"/>
      <c r="I198" s="74"/>
      <c r="J198" s="1445">
        <f>IF(E198=0,D198-K198,E198)</f>
        <v>2118.7719999999999</v>
      </c>
      <c r="K198" s="1444">
        <f>IF('Система ГВС'!F15=2,0,IF(F198=0,(F218*(1+IF($C$107=списки!$Y$54,'Расчет базового уровня'!$D$176,0))*($D$107-'Расчет после реализации'!E173)+E218*$D$113)/1000,F198))</f>
        <v>1041.442</v>
      </c>
      <c r="L198" s="18"/>
      <c r="M198" s="18"/>
      <c r="N198" s="18"/>
      <c r="O198" s="18"/>
      <c r="P198" s="18"/>
      <c r="Q198" s="18"/>
      <c r="R198" s="18"/>
      <c r="S198" s="18"/>
      <c r="T198" s="18"/>
      <c r="U198" s="18"/>
      <c r="V198" s="18"/>
      <c r="W198" s="18"/>
      <c r="X198" s="18"/>
      <c r="Y198" s="18"/>
      <c r="Z198" s="18"/>
    </row>
    <row r="199" spans="1:34" s="8" customFormat="1" x14ac:dyDescent="0.25">
      <c r="A199" s="1292"/>
      <c r="B199" s="1475"/>
      <c r="C199" s="10"/>
      <c r="D199" s="10"/>
      <c r="E199" s="10"/>
      <c r="F199" s="1284">
        <f>F218*55*1.3</f>
        <v>793721.5</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5"/>
      <c r="C202" s="1607" t="str">
        <f>IF('Система ГВС'!F3=2,"Таблицу ниже можно не заполнять, т.к. в поле 59 выбрана децентрализованная система ГВС.","")</f>
        <v/>
      </c>
      <c r="D202" s="1607"/>
      <c r="E202" s="1607"/>
      <c r="F202" s="1607"/>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2"/>
      <c r="B203" s="1475"/>
      <c r="C203" s="1611" t="s">
        <v>1838</v>
      </c>
      <c r="D203" s="1611"/>
      <c r="E203" s="1611"/>
      <c r="F203" s="1611"/>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2"/>
      <c r="B204" s="1475"/>
      <c r="C204" s="1583" t="s">
        <v>995</v>
      </c>
      <c r="D204" s="1584" t="s">
        <v>1001</v>
      </c>
      <c r="E204" s="1585"/>
      <c r="F204" s="1586"/>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2"/>
      <c r="B205" s="1475"/>
      <c r="C205" s="1583"/>
      <c r="D205" s="1345" t="s">
        <v>1834</v>
      </c>
      <c r="E205" s="1355" t="s">
        <v>1835</v>
      </c>
      <c r="F205" s="1349" t="s">
        <v>1836</v>
      </c>
      <c r="G205" s="1612"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613"/>
      <c r="I205" s="1613"/>
      <c r="J205" s="1613"/>
      <c r="K205" s="1613"/>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2"/>
      <c r="B206" s="1477">
        <f>B197+1</f>
        <v>113</v>
      </c>
      <c r="C206" s="1351" t="s">
        <v>488</v>
      </c>
      <c r="D206" s="1894">
        <f>E206+F206</f>
        <v>1022</v>
      </c>
      <c r="E206" s="1894"/>
      <c r="F206" s="1514">
        <v>1022</v>
      </c>
      <c r="G206" s="1594"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6" s="1594"/>
      <c r="I206" s="1595"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J206" s="1595"/>
      <c r="K206" s="1595"/>
      <c r="L206" s="1441">
        <f>$F$218/365/$D$22*1000</f>
        <v>49.858522344486865</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2"/>
      <c r="B207" s="1477">
        <f>B206+1</f>
        <v>114</v>
      </c>
      <c r="C207" s="1352" t="s">
        <v>489</v>
      </c>
      <c r="D207" s="1895">
        <f t="shared" ref="D207:D217" si="14">E207+F207</f>
        <v>1025</v>
      </c>
      <c r="E207" s="1895"/>
      <c r="F207" s="1515">
        <v>1025</v>
      </c>
      <c r="G207" s="1594"/>
      <c r="H207" s="1594"/>
      <c r="I207" s="1595"/>
      <c r="J207" s="1595"/>
      <c r="K207" s="1595"/>
      <c r="L207" s="1441">
        <f>SUMPRODUCT('Система ГВС'!$D$5:$D$9,'Система ГВС'!$E$5:$E$9)*(1-0.4*$D$21/$D$20)</f>
        <v>54</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2"/>
      <c r="B208" s="1477">
        <f t="shared" ref="B208:B217" si="15">B207+1</f>
        <v>115</v>
      </c>
      <c r="C208" s="1352" t="s">
        <v>490</v>
      </c>
      <c r="D208" s="1895">
        <f t="shared" si="14"/>
        <v>863</v>
      </c>
      <c r="E208" s="1895"/>
      <c r="F208" s="1515">
        <v>863</v>
      </c>
      <c r="G208" s="1594"/>
      <c r="H208" s="1594"/>
      <c r="I208" s="1595"/>
      <c r="J208" s="1595"/>
      <c r="K208" s="1595"/>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2"/>
      <c r="B209" s="1477">
        <f t="shared" si="15"/>
        <v>116</v>
      </c>
      <c r="C209" s="1352" t="s">
        <v>491</v>
      </c>
      <c r="D209" s="1895">
        <f t="shared" si="14"/>
        <v>1040</v>
      </c>
      <c r="E209" s="1895"/>
      <c r="F209" s="1515">
        <v>1040</v>
      </c>
      <c r="G209" s="1594"/>
      <c r="H209" s="1594"/>
      <c r="I209" s="1595"/>
      <c r="J209" s="1595"/>
      <c r="K209" s="1595"/>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2"/>
      <c r="B210" s="1477">
        <f t="shared" si="15"/>
        <v>117</v>
      </c>
      <c r="C210" s="1352" t="s">
        <v>805</v>
      </c>
      <c r="D210" s="1895">
        <f t="shared" si="14"/>
        <v>897</v>
      </c>
      <c r="E210" s="1895"/>
      <c r="F210" s="1515">
        <v>897</v>
      </c>
      <c r="G210" s="1594"/>
      <c r="H210" s="1594"/>
      <c r="I210" s="1595"/>
      <c r="J210" s="1595"/>
      <c r="K210" s="1595"/>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2"/>
      <c r="B211" s="1477">
        <f t="shared" si="15"/>
        <v>118</v>
      </c>
      <c r="C211" s="1352" t="s">
        <v>806</v>
      </c>
      <c r="D211" s="1895">
        <f t="shared" si="14"/>
        <v>850</v>
      </c>
      <c r="E211" s="1895"/>
      <c r="F211" s="1515">
        <v>850</v>
      </c>
      <c r="G211" s="1594"/>
      <c r="H211" s="1594"/>
      <c r="I211" s="1595"/>
      <c r="J211" s="1595"/>
      <c r="K211" s="1595"/>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2"/>
      <c r="B212" s="1477">
        <f t="shared" si="15"/>
        <v>119</v>
      </c>
      <c r="C212" s="1352" t="s">
        <v>807</v>
      </c>
      <c r="D212" s="1895">
        <f t="shared" si="14"/>
        <v>850</v>
      </c>
      <c r="E212" s="1895"/>
      <c r="F212" s="1515">
        <v>850</v>
      </c>
      <c r="G212" s="1594"/>
      <c r="H212" s="1594"/>
      <c r="I212" s="1595"/>
      <c r="J212" s="1595"/>
      <c r="K212" s="1595"/>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2"/>
      <c r="B213" s="1477">
        <f t="shared" si="15"/>
        <v>120</v>
      </c>
      <c r="C213" s="1352" t="s">
        <v>808</v>
      </c>
      <c r="D213" s="1895">
        <f t="shared" si="14"/>
        <v>850</v>
      </c>
      <c r="E213" s="1895"/>
      <c r="F213" s="1515">
        <v>850</v>
      </c>
      <c r="G213" s="1594"/>
      <c r="H213" s="1594"/>
      <c r="I213" s="1595"/>
      <c r="J213" s="1595"/>
      <c r="K213" s="1595"/>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2"/>
      <c r="B214" s="1477">
        <f t="shared" si="15"/>
        <v>121</v>
      </c>
      <c r="C214" s="1352" t="s">
        <v>809</v>
      </c>
      <c r="D214" s="1895">
        <f t="shared" si="14"/>
        <v>850</v>
      </c>
      <c r="E214" s="1895"/>
      <c r="F214" s="1515">
        <v>850</v>
      </c>
      <c r="G214" s="1594"/>
      <c r="H214" s="1594"/>
      <c r="I214" s="1595"/>
      <c r="J214" s="1595"/>
      <c r="K214" s="1595"/>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2"/>
      <c r="B215" s="1477">
        <f t="shared" si="15"/>
        <v>122</v>
      </c>
      <c r="C215" s="1352" t="s">
        <v>482</v>
      </c>
      <c r="D215" s="1895">
        <f t="shared" si="14"/>
        <v>900</v>
      </c>
      <c r="E215" s="1896"/>
      <c r="F215" s="1515">
        <v>900</v>
      </c>
      <c r="G215" s="1594"/>
      <c r="H215" s="1594"/>
      <c r="I215" s="1595"/>
      <c r="J215" s="1595"/>
      <c r="K215" s="1595"/>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2"/>
      <c r="B216" s="1477">
        <f t="shared" si="15"/>
        <v>123</v>
      </c>
      <c r="C216" s="1352" t="s">
        <v>486</v>
      </c>
      <c r="D216" s="1895">
        <f t="shared" si="14"/>
        <v>986</v>
      </c>
      <c r="E216" s="1896"/>
      <c r="F216" s="1515">
        <v>986</v>
      </c>
      <c r="G216" s="1594"/>
      <c r="H216" s="1594"/>
      <c r="I216" s="1595"/>
      <c r="J216" s="1595"/>
      <c r="K216" s="1595"/>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2"/>
      <c r="B217" s="1477">
        <f t="shared" si="15"/>
        <v>124</v>
      </c>
      <c r="C217" s="1353" t="s">
        <v>487</v>
      </c>
      <c r="D217" s="1897">
        <f t="shared" si="14"/>
        <v>968</v>
      </c>
      <c r="E217" s="1898"/>
      <c r="F217" s="1516">
        <v>968</v>
      </c>
      <c r="G217" s="1594"/>
      <c r="H217" s="1594"/>
      <c r="I217" s="1595"/>
      <c r="J217" s="1595"/>
      <c r="K217" s="1595"/>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2"/>
      <c r="B218" s="1475"/>
      <c r="C218" s="1350" t="s">
        <v>1000</v>
      </c>
      <c r="D218" s="1431">
        <f>SUM(D206:D217)</f>
        <v>11101</v>
      </c>
      <c r="E218" s="1431">
        <f>SUM(E206:E217)</f>
        <v>0</v>
      </c>
      <c r="F218" s="1432">
        <f>SUM(F206:F217)</f>
        <v>11101</v>
      </c>
      <c r="G218" s="1594"/>
      <c r="H218" s="1594"/>
      <c r="I218" s="1595"/>
      <c r="J218" s="1595"/>
      <c r="K218" s="1595"/>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2"/>
      <c r="B220" s="1475"/>
      <c r="C220" s="1611" t="s">
        <v>1837</v>
      </c>
      <c r="D220" s="1611"/>
      <c r="E220" s="1611"/>
      <c r="F220" s="1611"/>
      <c r="G220" s="1611"/>
      <c r="H220" s="1611"/>
      <c r="I220" s="1611"/>
      <c r="J220" s="1611"/>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2"/>
      <c r="B221" s="1475"/>
      <c r="C221" s="1587" t="s">
        <v>995</v>
      </c>
      <c r="D221" s="1588" t="s">
        <v>1604</v>
      </c>
      <c r="E221" s="1590" t="s">
        <v>1341</v>
      </c>
      <c r="F221" s="1591" t="s">
        <v>1344</v>
      </c>
      <c r="G221" s="1592"/>
      <c r="H221" s="1592"/>
      <c r="I221" s="1592"/>
      <c r="J221" s="1593"/>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2"/>
      <c r="B222" s="1475"/>
      <c r="C222" s="1587"/>
      <c r="D222" s="1589"/>
      <c r="E222" s="1588"/>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25">
      <c r="A223" s="1292"/>
      <c r="B223" s="1477">
        <f>B217+1</f>
        <v>125</v>
      </c>
      <c r="C223" s="1352" t="s">
        <v>488</v>
      </c>
      <c r="D223" s="1514"/>
      <c r="E223" s="1514"/>
      <c r="F223" s="1514">
        <v>15.111000000000001</v>
      </c>
      <c r="G223" s="1505"/>
      <c r="H223" s="1505"/>
      <c r="I223" s="1505"/>
      <c r="J223" s="1502"/>
      <c r="K223" s="1603" t="s">
        <v>1605</v>
      </c>
      <c r="L223" s="1603"/>
      <c r="M223" s="74"/>
      <c r="N223" s="74"/>
      <c r="O223" s="74"/>
      <c r="P223" s="1467">
        <f>SUM(Q223:S223,W223)</f>
        <v>16.705666666666666</v>
      </c>
      <c r="Q223" s="1468">
        <f>($G$131*$H$131*$D$131+$H$132*$G$132*$D$132+$H$133*$G$133*$D$133+$H$134*$G$134*$D$134+$H$135*$G$135*$D$135)/12/1000000</f>
        <v>7.5389999999999997</v>
      </c>
      <c r="R223" s="1468">
        <f>$D$140*$D$141/1000/12</f>
        <v>9.1666666666666661</v>
      </c>
      <c r="S223" s="1469">
        <f>SUM(T223:V223)</f>
        <v>0</v>
      </c>
      <c r="T223" s="1469">
        <f>$D$146*'Расчет базового уровня'!$G$146*24/1000</f>
        <v>0</v>
      </c>
      <c r="U223" s="1469">
        <f>$D$150*'Расчет базового уровня'!$G$170*24/1000</f>
        <v>0</v>
      </c>
      <c r="V223" s="1469">
        <f>$D$154*'Расчет базового уровня'!$G$165*24/1000</f>
        <v>0</v>
      </c>
      <c r="W223" s="1470">
        <f>$D$159*$D$160/12/1000</f>
        <v>0</v>
      </c>
      <c r="X223" s="1471"/>
      <c r="Y223" s="1467">
        <f>SUM(Z223:AB223,AF223)</f>
        <v>15.111000000000001</v>
      </c>
      <c r="Z223" s="1468">
        <f>IF(G223=0,IFERROR($F223*Q223/$P223,0),G223)</f>
        <v>6.8193524552547045</v>
      </c>
      <c r="AA223" s="1468">
        <f>IF(H223=0,IFERROR($F223*R223/$P223,0),H223)</f>
        <v>8.2916475447452953</v>
      </c>
      <c r="AB223" s="1468">
        <f>IF(I223=0,IFERROR($F223*S223/$P223,0),I223)</f>
        <v>0</v>
      </c>
      <c r="AC223" s="1469">
        <f>IFERROR(IF($I223=0,$F223*T223/$P223,$AB223*T223/$S223),0)</f>
        <v>0</v>
      </c>
      <c r="AD223" s="1469">
        <f>IFERROR(IF($I223=0,$F223*U223/$P223,$AB223*U223/$S223),0)</f>
        <v>0</v>
      </c>
      <c r="AE223" s="1469">
        <f>IFERROR(IF($I223=0,$F223*V223/$P223,$AB223*V223/$S223),0)</f>
        <v>0</v>
      </c>
      <c r="AF223" s="1468">
        <f>IFERROR(IF(J223=0,$F223*W223/$P223,P223),0)</f>
        <v>0</v>
      </c>
      <c r="AG223" s="18"/>
      <c r="AH223" s="18"/>
    </row>
    <row r="224" spans="1:34" s="8" customFormat="1" x14ac:dyDescent="0.25">
      <c r="A224" s="1292"/>
      <c r="B224" s="1477">
        <f>B223+1</f>
        <v>126</v>
      </c>
      <c r="C224" s="1352" t="s">
        <v>489</v>
      </c>
      <c r="D224" s="1515"/>
      <c r="E224" s="1515"/>
      <c r="F224" s="1515">
        <v>3.109</v>
      </c>
      <c r="G224" s="1506"/>
      <c r="H224" s="1506"/>
      <c r="I224" s="1506"/>
      <c r="J224" s="1503"/>
      <c r="K224" s="1603"/>
      <c r="L224" s="1603"/>
      <c r="M224" s="74"/>
      <c r="N224" s="74"/>
      <c r="O224" s="74"/>
      <c r="P224" s="1467">
        <f t="shared" ref="P224:P234" si="16">SUM(Q224:S224,W224)</f>
        <v>16.705666666666666</v>
      </c>
      <c r="Q224" s="1468">
        <f t="shared" ref="Q224:Q234" si="17">($G$131*$H$131*$D$131+$H$132*$G$132*$D$132+$H$133*$G$133*$D$133+$H$134*$G$134*$D$134+$H$135*$G$135*$D$135)/12/1000000</f>
        <v>7.5389999999999997</v>
      </c>
      <c r="R224" s="1468">
        <f>R223</f>
        <v>9.1666666666666661</v>
      </c>
      <c r="S224" s="1469">
        <f t="shared" ref="S224:S234" si="18">SUM(T224:V224)</f>
        <v>0</v>
      </c>
      <c r="T224" s="1469">
        <f>$D$146*'Расчет базового уровня'!$H$146*24/1000</f>
        <v>0</v>
      </c>
      <c r="U224" s="1469">
        <f>$D$150*'Расчет базового уровня'!$H$170*24/1000</f>
        <v>0</v>
      </c>
      <c r="V224" s="1469">
        <f>$D$154*'Расчет базового уровня'!$H$165*24/1000</f>
        <v>0</v>
      </c>
      <c r="W224" s="1470">
        <f t="shared" ref="W224:W234" si="19">$D$159*$D$160/12/1000</f>
        <v>0</v>
      </c>
      <c r="X224" s="1471"/>
      <c r="Y224" s="1467">
        <f t="shared" ref="Y224:Y235" si="20">SUM(Z224:AB224,AF224)</f>
        <v>3.109</v>
      </c>
      <c r="Z224" s="1468">
        <f t="shared" ref="Z224:Z235" si="21">IF(G224=0,IFERROR($F224*Q224/$P224,0),G224)</f>
        <v>1.4030419418560569</v>
      </c>
      <c r="AA224" s="1468">
        <f t="shared" ref="AA224:AA235" si="22">IF(H224=0,IFERROR($F224*R224/$P224,0),H224)</f>
        <v>1.7059580581439431</v>
      </c>
      <c r="AB224" s="1468">
        <f t="shared" ref="AB224:AB235" si="23">IF(I224=0,IFERROR($F224*S224/$P224,0),I224)</f>
        <v>0</v>
      </c>
      <c r="AC224" s="1469">
        <f t="shared" ref="AC224:AC235" si="24">IFERROR(IF($I224=0,$F224*T224/$P224,$AB224*T224/$S224),0)</f>
        <v>0</v>
      </c>
      <c r="AD224" s="1469">
        <f t="shared" ref="AD224:AD235" si="25">IFERROR(IF($I224=0,$F224*U224/$P224,$AB224*U224/$S224),0)</f>
        <v>0</v>
      </c>
      <c r="AE224" s="1469">
        <f t="shared" ref="AE224:AE235" si="26">IFERROR(IF($I224=0,$F224*V224/$P224,$AB224*V224/$S224),0)</f>
        <v>0</v>
      </c>
      <c r="AF224" s="1468">
        <f t="shared" ref="AF224:AF235" si="27">IFERROR(IF(J224=0,$F224*W224/$P224,P224),0)</f>
        <v>0</v>
      </c>
      <c r="AG224" s="18"/>
      <c r="AH224" s="18"/>
    </row>
    <row r="225" spans="1:34" s="8" customFormat="1" x14ac:dyDescent="0.25">
      <c r="A225" s="1292"/>
      <c r="B225" s="1477">
        <f t="shared" ref="B225:B234" si="28">B224+1</f>
        <v>127</v>
      </c>
      <c r="C225" s="1352" t="s">
        <v>490</v>
      </c>
      <c r="D225" s="1515"/>
      <c r="E225" s="1515"/>
      <c r="F225" s="1515">
        <v>15.474</v>
      </c>
      <c r="G225" s="1506"/>
      <c r="H225" s="1506"/>
      <c r="I225" s="1506"/>
      <c r="J225" s="1503"/>
      <c r="K225" s="1603"/>
      <c r="L225" s="1603"/>
      <c r="M225" s="74"/>
      <c r="N225" s="74"/>
      <c r="O225" s="74"/>
      <c r="P225" s="1467">
        <f t="shared" si="16"/>
        <v>16.705666666666666</v>
      </c>
      <c r="Q225" s="1468">
        <f t="shared" si="17"/>
        <v>7.5389999999999997</v>
      </c>
      <c r="R225" s="1468">
        <f t="shared" ref="R225:R234" si="29">R224</f>
        <v>9.1666666666666661</v>
      </c>
      <c r="S225" s="1469">
        <f t="shared" si="18"/>
        <v>0</v>
      </c>
      <c r="T225" s="1469">
        <f>$D$146*'Расчет базового уровня'!$I$146*24/1000</f>
        <v>0</v>
      </c>
      <c r="U225" s="1469">
        <f>$D$150*'Расчет базового уровня'!$I$170*24/1000</f>
        <v>0</v>
      </c>
      <c r="V225" s="1469">
        <f>$D$154*'Расчет базового уровня'!$I$165*24/1000</f>
        <v>0</v>
      </c>
      <c r="W225" s="1470">
        <f t="shared" si="19"/>
        <v>0</v>
      </c>
      <c r="X225" s="1471"/>
      <c r="Y225" s="1467">
        <f t="shared" si="20"/>
        <v>15.474</v>
      </c>
      <c r="Z225" s="1468">
        <f t="shared" si="21"/>
        <v>6.9831685456032888</v>
      </c>
      <c r="AA225" s="1468">
        <f t="shared" si="22"/>
        <v>8.4908314543967123</v>
      </c>
      <c r="AB225" s="1468">
        <f t="shared" si="23"/>
        <v>0</v>
      </c>
      <c r="AC225" s="1469">
        <f t="shared" si="24"/>
        <v>0</v>
      </c>
      <c r="AD225" s="1469">
        <f t="shared" si="25"/>
        <v>0</v>
      </c>
      <c r="AE225" s="1469">
        <f t="shared" si="26"/>
        <v>0</v>
      </c>
      <c r="AF225" s="1468">
        <f t="shared" si="27"/>
        <v>0</v>
      </c>
      <c r="AG225" s="18"/>
      <c r="AH225" s="18"/>
    </row>
    <row r="226" spans="1:34" s="8" customFormat="1" x14ac:dyDescent="0.25">
      <c r="A226" s="1292"/>
      <c r="B226" s="1477">
        <f t="shared" si="28"/>
        <v>128</v>
      </c>
      <c r="C226" s="1352" t="s">
        <v>491</v>
      </c>
      <c r="D226" s="1515"/>
      <c r="E226" s="1515"/>
      <c r="F226" s="1515">
        <v>11.587999999999999</v>
      </c>
      <c r="G226" s="1506"/>
      <c r="H226" s="1506"/>
      <c r="I226" s="1506"/>
      <c r="J226" s="1503"/>
      <c r="K226" s="1603"/>
      <c r="L226" s="1603"/>
      <c r="M226" s="74"/>
      <c r="N226" s="74"/>
      <c r="O226" s="74"/>
      <c r="P226" s="1467">
        <f t="shared" si="16"/>
        <v>16.705666666666666</v>
      </c>
      <c r="Q226" s="1468">
        <f t="shared" si="17"/>
        <v>7.5389999999999997</v>
      </c>
      <c r="R226" s="1468">
        <f t="shared" si="29"/>
        <v>9.1666666666666661</v>
      </c>
      <c r="S226" s="1469">
        <f t="shared" si="18"/>
        <v>0</v>
      </c>
      <c r="T226" s="1469">
        <f>$D$146*'Расчет базового уровня'!$J$146*24/1000</f>
        <v>0</v>
      </c>
      <c r="U226" s="1469">
        <f>$D$150*'Расчет базового уровня'!$J$170*24/1000</f>
        <v>0</v>
      </c>
      <c r="V226" s="1469">
        <f>$D$154*'Расчет базового уровня'!$J$165*24/1000</f>
        <v>0</v>
      </c>
      <c r="W226" s="1470">
        <f t="shared" si="19"/>
        <v>0</v>
      </c>
      <c r="X226" s="1471"/>
      <c r="Y226" s="1467">
        <f t="shared" si="20"/>
        <v>11.587999999999999</v>
      </c>
      <c r="Z226" s="1468">
        <f t="shared" si="21"/>
        <v>5.22947893928208</v>
      </c>
      <c r="AA226" s="1468">
        <f t="shared" si="22"/>
        <v>6.3585210607179192</v>
      </c>
      <c r="AB226" s="1468">
        <f t="shared" si="23"/>
        <v>0</v>
      </c>
      <c r="AC226" s="1469">
        <f t="shared" si="24"/>
        <v>0</v>
      </c>
      <c r="AD226" s="1469">
        <f t="shared" si="25"/>
        <v>0</v>
      </c>
      <c r="AE226" s="1469">
        <f t="shared" si="26"/>
        <v>0</v>
      </c>
      <c r="AF226" s="1468">
        <f t="shared" si="27"/>
        <v>0</v>
      </c>
      <c r="AG226" s="18"/>
      <c r="AH226" s="18"/>
    </row>
    <row r="227" spans="1:34" s="8" customFormat="1" x14ac:dyDescent="0.25">
      <c r="A227" s="1292"/>
      <c r="B227" s="1477">
        <f t="shared" si="28"/>
        <v>129</v>
      </c>
      <c r="C227" s="1352" t="s">
        <v>805</v>
      </c>
      <c r="D227" s="1515"/>
      <c r="E227" s="1515"/>
      <c r="F227" s="1515">
        <v>10.441000000000001</v>
      </c>
      <c r="G227" s="1506"/>
      <c r="H227" s="1506"/>
      <c r="I227" s="1506"/>
      <c r="J227" s="1503"/>
      <c r="K227" s="1603"/>
      <c r="L227" s="1603"/>
      <c r="M227" s="74"/>
      <c r="N227" s="74"/>
      <c r="O227" s="74"/>
      <c r="P227" s="1467">
        <f t="shared" si="16"/>
        <v>16.705666666666666</v>
      </c>
      <c r="Q227" s="1468">
        <f t="shared" si="17"/>
        <v>7.5389999999999997</v>
      </c>
      <c r="R227" s="1468">
        <f t="shared" si="29"/>
        <v>9.1666666666666661</v>
      </c>
      <c r="S227" s="1469">
        <f t="shared" si="18"/>
        <v>0</v>
      </c>
      <c r="T227" s="1469">
        <f>$D$146*'Расчет базового уровня'!$K$146*24/1000</f>
        <v>0</v>
      </c>
      <c r="U227" s="1469">
        <f>$D$150*'Расчет базового уровня'!$K$170*24/1000</f>
        <v>0</v>
      </c>
      <c r="V227" s="1469">
        <f>$D$154*'Расчет базового уровня'!$K$165*24/1000</f>
        <v>0</v>
      </c>
      <c r="W227" s="1470">
        <f t="shared" si="19"/>
        <v>0</v>
      </c>
      <c r="X227" s="1471"/>
      <c r="Y227" s="1467">
        <f t="shared" si="20"/>
        <v>10.440999999999999</v>
      </c>
      <c r="Z227" s="1468">
        <f t="shared" si="21"/>
        <v>4.7118561965001895</v>
      </c>
      <c r="AA227" s="1468">
        <f t="shared" si="22"/>
        <v>5.7291438034998103</v>
      </c>
      <c r="AB227" s="1468">
        <f t="shared" si="23"/>
        <v>0</v>
      </c>
      <c r="AC227" s="1469">
        <f t="shared" si="24"/>
        <v>0</v>
      </c>
      <c r="AD227" s="1469">
        <f t="shared" si="25"/>
        <v>0</v>
      </c>
      <c r="AE227" s="1469">
        <f t="shared" si="26"/>
        <v>0</v>
      </c>
      <c r="AF227" s="1468">
        <f t="shared" si="27"/>
        <v>0</v>
      </c>
      <c r="AG227" s="18"/>
      <c r="AH227" s="18"/>
    </row>
    <row r="228" spans="1:34" s="8" customFormat="1" x14ac:dyDescent="0.25">
      <c r="A228" s="1292"/>
      <c r="B228" s="1477">
        <f t="shared" si="28"/>
        <v>130</v>
      </c>
      <c r="C228" s="1352" t="s">
        <v>806</v>
      </c>
      <c r="D228" s="1515"/>
      <c r="E228" s="1515"/>
      <c r="F228" s="1515">
        <v>8.125</v>
      </c>
      <c r="G228" s="1506"/>
      <c r="H228" s="1506"/>
      <c r="I228" s="1506"/>
      <c r="J228" s="1503"/>
      <c r="K228" s="1603"/>
      <c r="L228" s="1603"/>
      <c r="M228" s="74"/>
      <c r="N228" s="74"/>
      <c r="O228" s="74"/>
      <c r="P228" s="1467">
        <f t="shared" si="16"/>
        <v>16.705666666666666</v>
      </c>
      <c r="Q228" s="1468">
        <f t="shared" si="17"/>
        <v>7.5389999999999997</v>
      </c>
      <c r="R228" s="1468">
        <f t="shared" si="29"/>
        <v>9.1666666666666661</v>
      </c>
      <c r="S228" s="1469">
        <f t="shared" si="18"/>
        <v>0</v>
      </c>
      <c r="T228" s="1469">
        <f>$D$146*'Расчет базового уровня'!$L$146*24/1000</f>
        <v>0</v>
      </c>
      <c r="U228" s="1469">
        <f>$D$150*'Расчет базового уровня'!$L$170*24/1000</f>
        <v>0</v>
      </c>
      <c r="V228" s="1469">
        <f>$D$154*'Расчет базового уровня'!$L$165*24/1000</f>
        <v>0</v>
      </c>
      <c r="W228" s="1470">
        <f t="shared" si="19"/>
        <v>0</v>
      </c>
      <c r="X228" s="1471"/>
      <c r="Y228" s="1467">
        <f t="shared" si="20"/>
        <v>8.125</v>
      </c>
      <c r="Z228" s="1468">
        <f t="shared" si="21"/>
        <v>3.6666824630364947</v>
      </c>
      <c r="AA228" s="1468">
        <f t="shared" si="22"/>
        <v>4.4583175369635049</v>
      </c>
      <c r="AB228" s="1468">
        <f t="shared" si="23"/>
        <v>0</v>
      </c>
      <c r="AC228" s="1469">
        <f t="shared" si="24"/>
        <v>0</v>
      </c>
      <c r="AD228" s="1469">
        <f t="shared" si="25"/>
        <v>0</v>
      </c>
      <c r="AE228" s="1469">
        <f t="shared" si="26"/>
        <v>0</v>
      </c>
      <c r="AF228" s="1468">
        <f t="shared" si="27"/>
        <v>0</v>
      </c>
      <c r="AG228" s="18"/>
      <c r="AH228" s="18"/>
    </row>
    <row r="229" spans="1:34" s="8" customFormat="1" x14ac:dyDescent="0.25">
      <c r="A229" s="1292"/>
      <c r="B229" s="1477">
        <f t="shared" si="28"/>
        <v>131</v>
      </c>
      <c r="C229" s="1352" t="s">
        <v>807</v>
      </c>
      <c r="D229" s="1515"/>
      <c r="E229" s="1515"/>
      <c r="F229" s="1515">
        <v>7.9039999999999999</v>
      </c>
      <c r="G229" s="1506"/>
      <c r="H229" s="1506"/>
      <c r="I229" s="1506"/>
      <c r="J229" s="1503"/>
      <c r="K229" s="1603"/>
      <c r="L229" s="1603"/>
      <c r="M229" s="74"/>
      <c r="N229" s="74"/>
      <c r="O229" s="74"/>
      <c r="P229" s="1467">
        <f t="shared" si="16"/>
        <v>16.705666666666666</v>
      </c>
      <c r="Q229" s="1468">
        <f t="shared" si="17"/>
        <v>7.5389999999999997</v>
      </c>
      <c r="R229" s="1468">
        <f t="shared" si="29"/>
        <v>9.1666666666666661</v>
      </c>
      <c r="S229" s="1469">
        <f t="shared" si="18"/>
        <v>0</v>
      </c>
      <c r="T229" s="1469">
        <f>$D$146*'Расчет базового уровня'!$M$146*24/1000</f>
        <v>0</v>
      </c>
      <c r="U229" s="1469">
        <f>$D$150*'Расчет базового уровня'!$M$170*24/1000</f>
        <v>0</v>
      </c>
      <c r="V229" s="1469">
        <f>$D$154*'Расчет базового уровня'!$M$165*24/1000</f>
        <v>0</v>
      </c>
      <c r="W229" s="1470">
        <f t="shared" si="19"/>
        <v>0</v>
      </c>
      <c r="X229" s="1471"/>
      <c r="Y229" s="1467">
        <f t="shared" si="20"/>
        <v>7.9039999999999999</v>
      </c>
      <c r="Z229" s="1468">
        <f t="shared" si="21"/>
        <v>3.5669487000419018</v>
      </c>
      <c r="AA229" s="1468">
        <f t="shared" si="22"/>
        <v>4.3370512999580981</v>
      </c>
      <c r="AB229" s="1468">
        <f t="shared" si="23"/>
        <v>0</v>
      </c>
      <c r="AC229" s="1469">
        <f t="shared" si="24"/>
        <v>0</v>
      </c>
      <c r="AD229" s="1469">
        <f t="shared" si="25"/>
        <v>0</v>
      </c>
      <c r="AE229" s="1469">
        <f t="shared" si="26"/>
        <v>0</v>
      </c>
      <c r="AF229" s="1468">
        <f t="shared" si="27"/>
        <v>0</v>
      </c>
      <c r="AG229" s="18"/>
      <c r="AH229" s="18"/>
    </row>
    <row r="230" spans="1:34" s="8" customFormat="1" x14ac:dyDescent="0.25">
      <c r="A230" s="1292"/>
      <c r="B230" s="1477">
        <f t="shared" si="28"/>
        <v>132</v>
      </c>
      <c r="C230" s="1352" t="s">
        <v>808</v>
      </c>
      <c r="D230" s="1515"/>
      <c r="E230" s="1515"/>
      <c r="F230" s="1515">
        <v>8.4550000000000001</v>
      </c>
      <c r="G230" s="1506"/>
      <c r="H230" s="1506"/>
      <c r="I230" s="1506"/>
      <c r="J230" s="1503"/>
      <c r="K230" s="1603"/>
      <c r="L230" s="1603"/>
      <c r="M230" s="74"/>
      <c r="N230" s="74"/>
      <c r="O230" s="74"/>
      <c r="P230" s="1467">
        <f t="shared" si="16"/>
        <v>16.705666666666666</v>
      </c>
      <c r="Q230" s="1468">
        <f t="shared" si="17"/>
        <v>7.5389999999999997</v>
      </c>
      <c r="R230" s="1468">
        <f t="shared" si="29"/>
        <v>9.1666666666666661</v>
      </c>
      <c r="S230" s="1469">
        <f t="shared" si="18"/>
        <v>0</v>
      </c>
      <c r="T230" s="1469">
        <f>$D$146*'Расчет базового уровня'!$N$146*24/1000</f>
        <v>0</v>
      </c>
      <c r="U230" s="1469">
        <f>$D$150*'Расчет базового уровня'!$N$170*24/1000</f>
        <v>0</v>
      </c>
      <c r="V230" s="1469">
        <f>$D$154*'Расчет базового уровня'!$N$165*24/1000</f>
        <v>0</v>
      </c>
      <c r="W230" s="1470">
        <f t="shared" si="19"/>
        <v>0</v>
      </c>
      <c r="X230" s="1471"/>
      <c r="Y230" s="1467">
        <f t="shared" si="20"/>
        <v>8.4550000000000001</v>
      </c>
      <c r="Z230" s="1468">
        <f t="shared" si="21"/>
        <v>3.8156061815352076</v>
      </c>
      <c r="AA230" s="1468">
        <f t="shared" si="22"/>
        <v>4.639393818464792</v>
      </c>
      <c r="AB230" s="1468">
        <f t="shared" si="23"/>
        <v>0</v>
      </c>
      <c r="AC230" s="1469">
        <f t="shared" si="24"/>
        <v>0</v>
      </c>
      <c r="AD230" s="1469">
        <f t="shared" si="25"/>
        <v>0</v>
      </c>
      <c r="AE230" s="1469">
        <f t="shared" si="26"/>
        <v>0</v>
      </c>
      <c r="AF230" s="1468">
        <f t="shared" si="27"/>
        <v>0</v>
      </c>
      <c r="AG230" s="18"/>
      <c r="AH230" s="18"/>
    </row>
    <row r="231" spans="1:34" s="8" customFormat="1" x14ac:dyDescent="0.25">
      <c r="A231" s="1292"/>
      <c r="B231" s="1477">
        <f t="shared" si="28"/>
        <v>133</v>
      </c>
      <c r="C231" s="1352" t="s">
        <v>809</v>
      </c>
      <c r="D231" s="1515"/>
      <c r="E231" s="1515"/>
      <c r="F231" s="1515">
        <v>8.234</v>
      </c>
      <c r="G231" s="1506"/>
      <c r="H231" s="1506"/>
      <c r="I231" s="1506"/>
      <c r="J231" s="1503"/>
      <c r="K231" s="1603"/>
      <c r="L231" s="1603"/>
      <c r="M231" s="74"/>
      <c r="N231" s="74"/>
      <c r="O231" s="74"/>
      <c r="P231" s="1467">
        <f t="shared" si="16"/>
        <v>16.705666666666666</v>
      </c>
      <c r="Q231" s="1468">
        <f t="shared" si="17"/>
        <v>7.5389999999999997</v>
      </c>
      <c r="R231" s="1468">
        <f t="shared" si="29"/>
        <v>9.1666666666666661</v>
      </c>
      <c r="S231" s="1469">
        <f t="shared" si="18"/>
        <v>0</v>
      </c>
      <c r="T231" s="1469">
        <f>$D$146*'Расчет базового уровня'!$O$146*24/1000</f>
        <v>0</v>
      </c>
      <c r="U231" s="1469">
        <f>$D$150*'Расчет базового уровня'!$O$170*24/1000</f>
        <v>0</v>
      </c>
      <c r="V231" s="1469">
        <f>$D$154*'Расчет базового уровня'!$O$165*24/1000</f>
        <v>0</v>
      </c>
      <c r="W231" s="1470">
        <f t="shared" si="19"/>
        <v>0</v>
      </c>
      <c r="X231" s="1471"/>
      <c r="Y231" s="1467">
        <f t="shared" si="20"/>
        <v>8.2339999999999982</v>
      </c>
      <c r="Z231" s="1468">
        <f t="shared" si="21"/>
        <v>3.7158724185406147</v>
      </c>
      <c r="AA231" s="1468">
        <f t="shared" si="22"/>
        <v>4.5181275814593844</v>
      </c>
      <c r="AB231" s="1468">
        <f t="shared" si="23"/>
        <v>0</v>
      </c>
      <c r="AC231" s="1469">
        <f t="shared" si="24"/>
        <v>0</v>
      </c>
      <c r="AD231" s="1469">
        <f t="shared" si="25"/>
        <v>0</v>
      </c>
      <c r="AE231" s="1469">
        <f t="shared" si="26"/>
        <v>0</v>
      </c>
      <c r="AF231" s="1468">
        <f t="shared" si="27"/>
        <v>0</v>
      </c>
      <c r="AG231" s="18"/>
      <c r="AH231" s="18"/>
    </row>
    <row r="232" spans="1:34" s="8" customFormat="1" x14ac:dyDescent="0.25">
      <c r="A232" s="1292"/>
      <c r="B232" s="1477">
        <f t="shared" si="28"/>
        <v>134</v>
      </c>
      <c r="C232" s="1352" t="s">
        <v>482</v>
      </c>
      <c r="D232" s="1515"/>
      <c r="E232" s="1515"/>
      <c r="F232" s="1515">
        <v>8.1280000000000001</v>
      </c>
      <c r="G232" s="1506"/>
      <c r="H232" s="1506"/>
      <c r="I232" s="1506"/>
      <c r="J232" s="1503"/>
      <c r="K232" s="1603"/>
      <c r="L232" s="1603"/>
      <c r="M232" s="74"/>
      <c r="N232" s="74"/>
      <c r="O232" s="74"/>
      <c r="P232" s="1467">
        <f t="shared" si="16"/>
        <v>16.705666666666666</v>
      </c>
      <c r="Q232" s="1468">
        <f t="shared" si="17"/>
        <v>7.5389999999999997</v>
      </c>
      <c r="R232" s="1468">
        <f t="shared" si="29"/>
        <v>9.1666666666666661</v>
      </c>
      <c r="S232" s="1469">
        <f t="shared" si="18"/>
        <v>0</v>
      </c>
      <c r="T232" s="1469">
        <f>$D$146*'Расчет базового уровня'!$P$146*24/1000</f>
        <v>0</v>
      </c>
      <c r="U232" s="1469">
        <f>$D$150*'Расчет базового уровня'!$P$170*24/1000</f>
        <v>0</v>
      </c>
      <c r="V232" s="1469">
        <f>$D$154*'Расчет базового уровня'!$P$165*24/1000</f>
        <v>0</v>
      </c>
      <c r="W232" s="1470">
        <f t="shared" si="19"/>
        <v>0</v>
      </c>
      <c r="X232" s="1471"/>
      <c r="Y232" s="1467">
        <f t="shared" si="20"/>
        <v>8.1280000000000001</v>
      </c>
      <c r="Z232" s="1468">
        <f t="shared" si="21"/>
        <v>3.6680363150228468</v>
      </c>
      <c r="AA232" s="1468">
        <f t="shared" si="22"/>
        <v>4.4599636849771533</v>
      </c>
      <c r="AB232" s="1468">
        <f t="shared" si="23"/>
        <v>0</v>
      </c>
      <c r="AC232" s="1469">
        <f t="shared" si="24"/>
        <v>0</v>
      </c>
      <c r="AD232" s="1469">
        <f t="shared" si="25"/>
        <v>0</v>
      </c>
      <c r="AE232" s="1469">
        <f t="shared" si="26"/>
        <v>0</v>
      </c>
      <c r="AF232" s="1468">
        <f t="shared" si="27"/>
        <v>0</v>
      </c>
      <c r="AG232" s="18"/>
      <c r="AH232" s="18"/>
    </row>
    <row r="233" spans="1:34" s="8" customFormat="1" x14ac:dyDescent="0.25">
      <c r="A233" s="1292"/>
      <c r="B233" s="1477">
        <f t="shared" si="28"/>
        <v>135</v>
      </c>
      <c r="C233" s="1352" t="s">
        <v>486</v>
      </c>
      <c r="D233" s="1515"/>
      <c r="E233" s="1515"/>
      <c r="F233" s="1515">
        <v>6.6</v>
      </c>
      <c r="G233" s="1506"/>
      <c r="H233" s="1506"/>
      <c r="I233" s="1506"/>
      <c r="J233" s="1503"/>
      <c r="K233" s="1603"/>
      <c r="L233" s="1603"/>
      <c r="M233" s="74"/>
      <c r="N233" s="74"/>
      <c r="O233" s="74"/>
      <c r="P233" s="1467">
        <f t="shared" si="16"/>
        <v>16.705666666666666</v>
      </c>
      <c r="Q233" s="1468">
        <f t="shared" si="17"/>
        <v>7.5389999999999997</v>
      </c>
      <c r="R233" s="1468">
        <f t="shared" si="29"/>
        <v>9.1666666666666661</v>
      </c>
      <c r="S233" s="1469">
        <f t="shared" si="18"/>
        <v>0</v>
      </c>
      <c r="T233" s="1469">
        <f>$D$146*'Расчет базового уровня'!$Q$146*24/1000</f>
        <v>0</v>
      </c>
      <c r="U233" s="1469">
        <f>$D$150*'Расчет базового уровня'!$Q$170*24/1000</f>
        <v>0</v>
      </c>
      <c r="V233" s="1469">
        <f>$D$154*'Расчет базового уровня'!$Q$165*24/1000</f>
        <v>0</v>
      </c>
      <c r="W233" s="1470">
        <f t="shared" si="19"/>
        <v>0</v>
      </c>
      <c r="X233" s="1471"/>
      <c r="Y233" s="1467">
        <f t="shared" si="20"/>
        <v>6.6</v>
      </c>
      <c r="Z233" s="1468">
        <f t="shared" si="21"/>
        <v>2.9784743699742604</v>
      </c>
      <c r="AA233" s="1468">
        <f t="shared" si="22"/>
        <v>3.6215256300257397</v>
      </c>
      <c r="AB233" s="1468">
        <f t="shared" si="23"/>
        <v>0</v>
      </c>
      <c r="AC233" s="1469">
        <f t="shared" si="24"/>
        <v>0</v>
      </c>
      <c r="AD233" s="1469">
        <f t="shared" si="25"/>
        <v>0</v>
      </c>
      <c r="AE233" s="1469">
        <f t="shared" si="26"/>
        <v>0</v>
      </c>
      <c r="AF233" s="1468">
        <f t="shared" si="27"/>
        <v>0</v>
      </c>
      <c r="AG233" s="18"/>
      <c r="AH233" s="18"/>
    </row>
    <row r="234" spans="1:34" s="8" customFormat="1" x14ac:dyDescent="0.25">
      <c r="A234" s="1292"/>
      <c r="B234" s="1477">
        <f t="shared" si="28"/>
        <v>136</v>
      </c>
      <c r="C234" s="1354" t="s">
        <v>487</v>
      </c>
      <c r="D234" s="1516"/>
      <c r="E234" s="1516"/>
      <c r="F234" s="1515">
        <v>5.1803600000000003</v>
      </c>
      <c r="G234" s="1507"/>
      <c r="H234" s="1507"/>
      <c r="I234" s="1507"/>
      <c r="J234" s="1504"/>
      <c r="K234" s="1603"/>
      <c r="L234" s="1603"/>
      <c r="M234" s="74"/>
      <c r="N234" s="74"/>
      <c r="O234" s="74"/>
      <c r="P234" s="1467">
        <f t="shared" si="16"/>
        <v>16.705666666666666</v>
      </c>
      <c r="Q234" s="1468">
        <f t="shared" si="17"/>
        <v>7.5389999999999997</v>
      </c>
      <c r="R234" s="1468">
        <f t="shared" si="29"/>
        <v>9.1666666666666661</v>
      </c>
      <c r="S234" s="1469">
        <f t="shared" si="18"/>
        <v>0</v>
      </c>
      <c r="T234" s="1469">
        <f>$D$146*'Расчет базового уровня'!$R$146*24/1000</f>
        <v>0</v>
      </c>
      <c r="U234" s="1469">
        <f>$D$150*'Расчет базового уровня'!$R$170*24/1000</f>
        <v>0</v>
      </c>
      <c r="V234" s="1469">
        <f>$D$154*'Расчет базового уровня'!$R$165*24/1000</f>
        <v>0</v>
      </c>
      <c r="W234" s="1470">
        <f t="shared" si="19"/>
        <v>0</v>
      </c>
      <c r="X234" s="1471"/>
      <c r="Y234" s="1467">
        <f t="shared" si="20"/>
        <v>5.1803600000000003</v>
      </c>
      <c r="Z234" s="1468">
        <f t="shared" si="21"/>
        <v>2.337813558672706</v>
      </c>
      <c r="AA234" s="1468">
        <f t="shared" si="22"/>
        <v>2.8425464413272943</v>
      </c>
      <c r="AB234" s="1468">
        <f t="shared" si="23"/>
        <v>0</v>
      </c>
      <c r="AC234" s="1469">
        <f t="shared" si="24"/>
        <v>0</v>
      </c>
      <c r="AD234" s="1469">
        <f t="shared" si="25"/>
        <v>0</v>
      </c>
      <c r="AE234" s="1469">
        <f t="shared" si="26"/>
        <v>0</v>
      </c>
      <c r="AF234" s="1468">
        <f t="shared" si="27"/>
        <v>0</v>
      </c>
      <c r="AG234" s="18"/>
      <c r="AH234" s="18"/>
    </row>
    <row r="235" spans="1:34" s="8" customFormat="1" x14ac:dyDescent="0.25">
      <c r="A235" s="1292"/>
      <c r="B235" s="1475"/>
      <c r="C235" s="1350" t="s">
        <v>1000</v>
      </c>
      <c r="D235" s="1431">
        <f t="shared" ref="D235:J235" si="30">SUM(D223:D234)</f>
        <v>0</v>
      </c>
      <c r="E235" s="1431">
        <f t="shared" si="30"/>
        <v>0</v>
      </c>
      <c r="F235" s="1431">
        <f t="shared" si="30"/>
        <v>108.34935999999999</v>
      </c>
      <c r="G235" s="1431">
        <f t="shared" si="30"/>
        <v>0</v>
      </c>
      <c r="H235" s="1431">
        <f t="shared" si="30"/>
        <v>0</v>
      </c>
      <c r="I235" s="1431">
        <f t="shared" si="30"/>
        <v>0</v>
      </c>
      <c r="J235" s="1432">
        <f t="shared" si="30"/>
        <v>0</v>
      </c>
      <c r="K235" s="1603"/>
      <c r="L235" s="1603"/>
      <c r="M235" s="74"/>
      <c r="N235" s="74"/>
      <c r="O235" s="74"/>
      <c r="P235" s="1472">
        <f>SUM(P223:P234)</f>
        <v>200.46800000000005</v>
      </c>
      <c r="Q235" s="1473">
        <f>SUM(Q223:Q234)</f>
        <v>90.468000000000004</v>
      </c>
      <c r="R235" s="1472">
        <f t="shared" ref="R235" si="31">SUM(R223:R234)</f>
        <v>110.00000000000001</v>
      </c>
      <c r="S235" s="1472">
        <f t="shared" ref="S235" si="32">SUM(S223:S234)</f>
        <v>0</v>
      </c>
      <c r="T235" s="1472">
        <f t="shared" ref="T235" si="33">SUM(T223:T234)</f>
        <v>0</v>
      </c>
      <c r="U235" s="1472">
        <f t="shared" ref="U235" si="34">SUM(U223:U234)</f>
        <v>0</v>
      </c>
      <c r="V235" s="1472">
        <f t="shared" ref="V235" si="35">SUM(V223:V234)</f>
        <v>0</v>
      </c>
      <c r="W235" s="1472">
        <f t="shared" ref="W235" si="36">SUM(W223:W234)</f>
        <v>0</v>
      </c>
      <c r="X235" s="1471"/>
      <c r="Y235" s="1467">
        <f t="shared" si="20"/>
        <v>108.34935999999998</v>
      </c>
      <c r="Z235" s="1468">
        <f t="shared" si="21"/>
        <v>48.896332085320331</v>
      </c>
      <c r="AA235" s="1468">
        <f t="shared" si="22"/>
        <v>59.453027914679645</v>
      </c>
      <c r="AB235" s="1468">
        <f t="shared" si="23"/>
        <v>0</v>
      </c>
      <c r="AC235" s="1469">
        <f t="shared" si="24"/>
        <v>0</v>
      </c>
      <c r="AD235" s="1469">
        <f t="shared" si="25"/>
        <v>0</v>
      </c>
      <c r="AE235" s="1469">
        <f t="shared" si="26"/>
        <v>0</v>
      </c>
      <c r="AF235" s="1468">
        <f t="shared" si="27"/>
        <v>0</v>
      </c>
      <c r="AG235" s="18"/>
      <c r="AH235" s="18"/>
    </row>
    <row r="236" spans="1:34" s="8" customFormat="1" ht="29.25" customHeight="1" x14ac:dyDescent="0.25">
      <c r="A236" s="1292"/>
      <c r="B236" s="1475"/>
      <c r="C236" s="10"/>
      <c r="D236" s="10"/>
      <c r="E236" s="1513" t="str">
        <f>IF(E235&gt;10000,"Вводите показания в ТЫС кВтч","")</f>
        <v/>
      </c>
      <c r="F236" s="1596"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6"/>
      <c r="H236" s="1596"/>
      <c r="I236" s="1596"/>
      <c r="J236" s="1596"/>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476">
        <f>5/8</f>
        <v>0.625</v>
      </c>
      <c r="C239" s="1598" t="s">
        <v>1431</v>
      </c>
      <c r="D239" s="1598"/>
      <c r="E239" s="159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2"/>
      <c r="B240" s="1477">
        <f>B234+1</f>
        <v>137</v>
      </c>
      <c r="C240" s="1408" t="s">
        <v>1868</v>
      </c>
      <c r="D240" s="1413" t="s">
        <v>724</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75" t="s">
        <v>1281</v>
      </c>
      <c r="D242" s="1575"/>
      <c r="E242" s="1575"/>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2"/>
      <c r="B243" s="1475"/>
      <c r="C243" s="1412" t="s">
        <v>1871</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2"/>
      <c r="B244" s="1477">
        <f>B240+1</f>
        <v>138</v>
      </c>
      <c r="C244" s="1417" t="s">
        <v>1872</v>
      </c>
      <c r="D244" s="1409" t="s">
        <v>1870</v>
      </c>
      <c r="E244" s="1371">
        <v>42644</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2"/>
      <c r="B245" s="1477">
        <f>B244+1</f>
        <v>139</v>
      </c>
      <c r="C245" s="1417" t="s">
        <v>1873</v>
      </c>
      <c r="D245" s="1371">
        <v>42510</v>
      </c>
      <c r="E245" s="1371">
        <v>42875</v>
      </c>
      <c r="F245" s="1578"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79"/>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2"/>
      <c r="B246" s="1475"/>
      <c r="C246" s="1410" t="s">
        <v>1874</v>
      </c>
      <c r="D246" s="1576">
        <f>IF(OR(AND(ISBLANK(E245),ISBLANK(D245)),ISBLANK(E244)),0,IF(E245="",(DATE(E240-1,12,31)-E244+D245-DATE(E240-1,1,1)),E245-E244))</f>
        <v>231</v>
      </c>
      <c r="E246" s="1577"/>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2"/>
      <c r="B249" s="1477"/>
      <c r="C249" s="1434" t="s">
        <v>1422</v>
      </c>
      <c r="D249" s="1523">
        <f>IF(E245="",D245,E245)</f>
        <v>42875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475"/>
      <c r="C250" s="1572" t="s">
        <v>995</v>
      </c>
      <c r="D250" s="1601" t="s">
        <v>1839</v>
      </c>
      <c r="E250" s="1602"/>
      <c r="F250" s="1572" t="s">
        <v>1840</v>
      </c>
      <c r="G250" s="1572"/>
      <c r="H250" s="1573" t="s">
        <v>1282</v>
      </c>
      <c r="I250" s="1574" t="s">
        <v>1287</v>
      </c>
      <c r="J250" s="1574" t="s">
        <v>1288</v>
      </c>
      <c r="K250" s="1599"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475"/>
      <c r="C251" s="1572"/>
      <c r="D251" s="1361" t="s">
        <v>1002</v>
      </c>
      <c r="E251" s="1361" t="s">
        <v>1283</v>
      </c>
      <c r="F251" s="1361" t="s">
        <v>1284</v>
      </c>
      <c r="G251" s="1361" t="s">
        <v>1285</v>
      </c>
      <c r="H251" s="1573"/>
      <c r="I251" s="1574"/>
      <c r="J251" s="1574"/>
      <c r="K251" s="1600"/>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477">
        <f>B245+1</f>
        <v>140</v>
      </c>
      <c r="C252" s="1362" t="s">
        <v>488</v>
      </c>
      <c r="D252" s="1447">
        <f>Климатология!AI2</f>
        <v>-17.3</v>
      </c>
      <c r="E252" s="1525">
        <v>-14.65</v>
      </c>
      <c r="F252" s="1447">
        <f>Климатология!AL2</f>
        <v>1156.3</v>
      </c>
      <c r="G252" s="1447">
        <f>($D$83-IF(I252&lt;0.5*J252,8,E252))*I252</f>
        <v>1074.1499999999999</v>
      </c>
      <c r="H252" s="1451">
        <f>IF(G252=0,0,F252/G252)</f>
        <v>1.0764790764790766</v>
      </c>
      <c r="I252" s="1447">
        <v>31</v>
      </c>
      <c r="J252" s="1447">
        <v>31</v>
      </c>
      <c r="K252" s="1452">
        <f>IF(I252&lt;0.5*J252,8,E252)*I252</f>
        <v>-454.15000000000003</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477">
        <f>B252+1</f>
        <v>141</v>
      </c>
      <c r="C253" s="1363" t="s">
        <v>489</v>
      </c>
      <c r="D253" s="1448">
        <f>Климатология!AM2</f>
        <v>-15.7</v>
      </c>
      <c r="E253" s="1526">
        <v>-12.55</v>
      </c>
      <c r="F253" s="1448">
        <f>Климатология!AP2</f>
        <v>999.60000000000014</v>
      </c>
      <c r="G253" s="1448">
        <f t="shared" ref="G253:G255" si="37">($D$83-IF(I253&lt;0.5*J253,8,E253))*I253</f>
        <v>911.39999999999986</v>
      </c>
      <c r="H253" s="1453">
        <f t="shared" ref="H253:H264" si="38">IF(G253=0,0,F253/G253)</f>
        <v>1.0967741935483875</v>
      </c>
      <c r="I253" s="1448">
        <f>IF(MONTH($D$249)=2,DAY($D$249),IF(MONTH($D$249)&lt;2,0,J253))</f>
        <v>28</v>
      </c>
      <c r="J253" s="1448">
        <v>28</v>
      </c>
      <c r="K253" s="1454">
        <f t="shared" ref="K253:K263" si="39">IF(I253&lt;0.5*J253,8,E253)*I253</f>
        <v>-351.40000000000003</v>
      </c>
      <c r="L253" s="1360">
        <f t="shared" ref="L253:L264" si="40">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477">
        <f t="shared" ref="B254:B263" si="41">B253+1</f>
        <v>142</v>
      </c>
      <c r="C254" s="1363" t="s">
        <v>490</v>
      </c>
      <c r="D254" s="1448">
        <f>Климатология!AQ2</f>
        <v>-8.4</v>
      </c>
      <c r="E254" s="1526">
        <v>-5.29</v>
      </c>
      <c r="F254" s="1448">
        <f>Климатология!AT2</f>
        <v>880.4</v>
      </c>
      <c r="G254" s="1448">
        <f t="shared" si="37"/>
        <v>783.99</v>
      </c>
      <c r="H254" s="1453">
        <f t="shared" si="38"/>
        <v>1.1229735073151443</v>
      </c>
      <c r="I254" s="1448">
        <f>IF(MONTH($D$249)=3,DAY($D$249),IF(MONTH($D$249)&lt;3,0,J254))</f>
        <v>31</v>
      </c>
      <c r="J254" s="1448">
        <v>31</v>
      </c>
      <c r="K254" s="1454">
        <f t="shared" si="39"/>
        <v>-163.99</v>
      </c>
      <c r="L254" s="1360">
        <f t="shared" si="40"/>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477">
        <f t="shared" si="41"/>
        <v>143</v>
      </c>
      <c r="C255" s="1363" t="s">
        <v>491</v>
      </c>
      <c r="D255" s="1448">
        <f>Климатология!AU2</f>
        <v>2.2000000000000002</v>
      </c>
      <c r="E255" s="1526">
        <v>10.09</v>
      </c>
      <c r="F255" s="1448">
        <f>Климатология!AX2</f>
        <v>534</v>
      </c>
      <c r="G255" s="1448">
        <f t="shared" si="37"/>
        <v>297.3</v>
      </c>
      <c r="H255" s="1453">
        <f t="shared" si="38"/>
        <v>1.7961654894046417</v>
      </c>
      <c r="I255" s="1448">
        <f>IF(MONTH($D$249)=4,DAY($D$249),IF(MONTH($D$249)&lt;4,0,J255))</f>
        <v>30</v>
      </c>
      <c r="J255" s="1448">
        <v>30</v>
      </c>
      <c r="K255" s="1454">
        <f t="shared" si="39"/>
        <v>302.7</v>
      </c>
      <c r="L255" s="1360">
        <f t="shared" si="40"/>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477">
        <f t="shared" si="41"/>
        <v>144</v>
      </c>
      <c r="C256" s="1363" t="s">
        <v>805</v>
      </c>
      <c r="D256" s="1448">
        <f>Климатология!AY2</f>
        <v>11.1</v>
      </c>
      <c r="E256" s="1526">
        <v>11.48</v>
      </c>
      <c r="F256" s="1448">
        <f>Климатология!BB2</f>
        <v>40.050000000000004</v>
      </c>
      <c r="G256" s="1448">
        <f t="shared" ref="G256:G261" si="42">($D$83-IF(I256&lt;0.5*J256,8,E256))*I256</f>
        <v>170.39999999999998</v>
      </c>
      <c r="H256" s="1453">
        <f t="shared" si="38"/>
        <v>0.23503521126760568</v>
      </c>
      <c r="I256" s="1448">
        <f>IF(MONTH($D$249)=5,DAY($D$249),IF(MONTH($D$249)&lt;5,0,J256))</f>
        <v>20</v>
      </c>
      <c r="J256" s="1448">
        <v>31</v>
      </c>
      <c r="K256" s="1454">
        <f t="shared" si="39"/>
        <v>229.60000000000002</v>
      </c>
      <c r="L256" s="1360">
        <f t="shared" si="40"/>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477">
        <f t="shared" si="41"/>
        <v>145</v>
      </c>
      <c r="C257" s="1363" t="s">
        <v>806</v>
      </c>
      <c r="D257" s="1448">
        <f>Климатология!BC2</f>
        <v>17</v>
      </c>
      <c r="E257" s="1526">
        <v>18.2</v>
      </c>
      <c r="F257" s="1448">
        <f>Климатология!BF2</f>
        <v>0</v>
      </c>
      <c r="G257" s="1448">
        <f t="shared" si="42"/>
        <v>0</v>
      </c>
      <c r="H257" s="1453">
        <f t="shared" si="38"/>
        <v>0</v>
      </c>
      <c r="I257" s="1448">
        <f>IF(MONTH($D$249)=6,DAY($D$249),IF(MONTH($D$249)&lt;6,0,J257))</f>
        <v>0</v>
      </c>
      <c r="J257" s="1448">
        <v>30</v>
      </c>
      <c r="K257" s="1454">
        <f t="shared" si="39"/>
        <v>0</v>
      </c>
      <c r="L257" s="1360">
        <f t="shared" si="40"/>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477">
        <f t="shared" si="41"/>
        <v>146</v>
      </c>
      <c r="C258" s="1363" t="s">
        <v>807</v>
      </c>
      <c r="D258" s="1448">
        <f>Климатология!K2</f>
        <v>19.399999999999999</v>
      </c>
      <c r="E258" s="1526">
        <v>19.649999999999999</v>
      </c>
      <c r="F258" s="1448">
        <f>Климатология!N2</f>
        <v>0</v>
      </c>
      <c r="G258" s="1448">
        <f t="shared" si="42"/>
        <v>0</v>
      </c>
      <c r="H258" s="1453">
        <f t="shared" si="38"/>
        <v>0</v>
      </c>
      <c r="I258" s="1448">
        <f>IF(MONTH($D$249)=7,DAY($D$249),IF(MONTH($D$249)&lt;7,0,J258))</f>
        <v>0</v>
      </c>
      <c r="J258" s="1448">
        <v>31</v>
      </c>
      <c r="K258" s="1454">
        <f t="shared" si="39"/>
        <v>0</v>
      </c>
      <c r="L258" s="1360">
        <f t="shared" si="40"/>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477">
        <f t="shared" si="41"/>
        <v>147</v>
      </c>
      <c r="C259" s="1363" t="s">
        <v>808</v>
      </c>
      <c r="D259" s="1448">
        <f>Климатология!O2</f>
        <v>16.2</v>
      </c>
      <c r="E259" s="1526">
        <v>17.04</v>
      </c>
      <c r="F259" s="1448">
        <f>Климатология!R2</f>
        <v>0</v>
      </c>
      <c r="G259" s="1448">
        <f t="shared" si="42"/>
        <v>0</v>
      </c>
      <c r="H259" s="1453">
        <f t="shared" si="38"/>
        <v>0</v>
      </c>
      <c r="I259" s="1448">
        <f>IF(MONTH($E$244)=8,J259-DAY($E$244),IF(MONTH($E$244)&lt;8,J259,0))</f>
        <v>0</v>
      </c>
      <c r="J259" s="1448">
        <v>31</v>
      </c>
      <c r="K259" s="1454">
        <f t="shared" si="39"/>
        <v>0</v>
      </c>
      <c r="L259" s="1360">
        <f t="shared" si="40"/>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477">
        <f t="shared" si="41"/>
        <v>148</v>
      </c>
      <c r="C260" s="1363" t="s">
        <v>809</v>
      </c>
      <c r="D260" s="1448">
        <f>Климатология!S2</f>
        <v>10.199999999999999</v>
      </c>
      <c r="E260" s="1526">
        <v>11</v>
      </c>
      <c r="F260" s="1448">
        <f>Климатология!V2</f>
        <v>44.1</v>
      </c>
      <c r="G260" s="1448">
        <f t="shared" si="42"/>
        <v>0</v>
      </c>
      <c r="H260" s="1453">
        <f t="shared" si="38"/>
        <v>0</v>
      </c>
      <c r="I260" s="1448">
        <f>IF(MONTH($E$244)=9,J260-DAY($E$244),IF(MONTH($E$244)&lt;9,J260,0))</f>
        <v>0</v>
      </c>
      <c r="J260" s="1448">
        <v>30</v>
      </c>
      <c r="K260" s="1454">
        <f t="shared" si="39"/>
        <v>0</v>
      </c>
      <c r="L260" s="1360">
        <f t="shared" si="40"/>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477">
        <f t="shared" si="41"/>
        <v>149</v>
      </c>
      <c r="C261" s="1363" t="s">
        <v>482</v>
      </c>
      <c r="D261" s="1448">
        <f>Климатология!W2</f>
        <v>2.5</v>
      </c>
      <c r="E261" s="1526">
        <v>-1.21</v>
      </c>
      <c r="F261" s="1448">
        <f>Климатология!Z2</f>
        <v>542.5</v>
      </c>
      <c r="G261" s="1448">
        <f t="shared" si="42"/>
        <v>636.30000000000007</v>
      </c>
      <c r="H261" s="1453">
        <f t="shared" si="38"/>
        <v>0.85258525852585254</v>
      </c>
      <c r="I261" s="1448">
        <f>IF(MONTH(E244)=10,J261-DAY(E244),IF(MONTH(E244)&lt;10,J261,0))</f>
        <v>30</v>
      </c>
      <c r="J261" s="1448">
        <v>31</v>
      </c>
      <c r="K261" s="1454">
        <f t="shared" si="39"/>
        <v>-36.299999999999997</v>
      </c>
      <c r="L261" s="1360">
        <f t="shared" si="40"/>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477">
        <f t="shared" si="41"/>
        <v>150</v>
      </c>
      <c r="C262" s="1363" t="s">
        <v>486</v>
      </c>
      <c r="D262" s="1448">
        <f>Климатология!AA2</f>
        <v>-7.4</v>
      </c>
      <c r="E262" s="1526">
        <v>-12.88</v>
      </c>
      <c r="F262" s="1454">
        <f>Климатология!AD2</f>
        <v>822</v>
      </c>
      <c r="G262" s="1448">
        <f t="shared" ref="G262:G263" si="43">($D$83-IF(I262&lt;0.5*J262,8,E262))*I262</f>
        <v>986.40000000000009</v>
      </c>
      <c r="H262" s="1453">
        <f t="shared" si="38"/>
        <v>0.83333333333333326</v>
      </c>
      <c r="I262" s="1448">
        <f>IF(MONTH(D249)=11,J262-DAY(D249),IF(MONTH(D249)&lt;11,J262,0))</f>
        <v>30</v>
      </c>
      <c r="J262" s="1448">
        <v>30</v>
      </c>
      <c r="K262" s="1454">
        <f>IF(I262&lt;0.5*J262,8,E262)*I262</f>
        <v>-386.40000000000003</v>
      </c>
      <c r="L262" s="1360">
        <f t="shared" si="40"/>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477">
        <f t="shared" si="41"/>
        <v>151</v>
      </c>
      <c r="C263" s="1364" t="s">
        <v>487</v>
      </c>
      <c r="D263" s="1449">
        <f>Климатология!AE2</f>
        <v>-14.5</v>
      </c>
      <c r="E263" s="1527">
        <v>-10.67</v>
      </c>
      <c r="F263" s="1449">
        <f>Климатология!AH2</f>
        <v>1069.5</v>
      </c>
      <c r="G263" s="1449">
        <f t="shared" si="43"/>
        <v>950.7700000000001</v>
      </c>
      <c r="H263" s="1455">
        <f t="shared" si="38"/>
        <v>1.1248777306814475</v>
      </c>
      <c r="I263" s="1449">
        <f>IF(MONTH(D249)=12,J263-DAY(D249),IF(MONTH(D249)&lt;12,J263,0))</f>
        <v>31</v>
      </c>
      <c r="J263" s="1449">
        <v>31</v>
      </c>
      <c r="K263" s="1456">
        <f t="shared" si="39"/>
        <v>-330.77</v>
      </c>
      <c r="L263" s="1360">
        <f t="shared" si="40"/>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475"/>
      <c r="C264" s="1365" t="s">
        <v>1286</v>
      </c>
      <c r="D264" s="1450">
        <f>Климатология!F2</f>
        <v>-8.1</v>
      </c>
      <c r="E264" s="1433">
        <f>K264</f>
        <v>-5.1545887445887448</v>
      </c>
      <c r="F264" s="1450">
        <f>Климатология!I2</f>
        <v>6210.1</v>
      </c>
      <c r="G264" s="1457">
        <f>($D$83-E264)*D246</f>
        <v>5810.71</v>
      </c>
      <c r="H264" s="1458">
        <f t="shared" si="38"/>
        <v>1.0687334250031408</v>
      </c>
      <c r="I264" s="1457"/>
      <c r="J264" s="1457"/>
      <c r="K264" s="1459">
        <f>IF(D246&lt;&gt;0,SUM(K252:K263)/D246,"")</f>
        <v>-5.1545887445887448</v>
      </c>
      <c r="L264" s="1360">
        <f t="shared" si="40"/>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2"/>
      <c r="B266" s="1476">
        <f>6/8</f>
        <v>0.75</v>
      </c>
      <c r="C266" s="1581" t="s">
        <v>1317</v>
      </c>
      <c r="D266" s="1582"/>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475"/>
      <c r="C268" s="1366" t="s">
        <v>1841</v>
      </c>
      <c r="D268" s="1366" t="s">
        <v>1842</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477">
        <f>B263+1</f>
        <v>152</v>
      </c>
      <c r="C270" s="1368">
        <v>1635.75</v>
      </c>
      <c r="D270" s="1368">
        <v>2.42</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476">
        <f>7/8</f>
        <v>0.875</v>
      </c>
      <c r="C274" s="1597" t="s">
        <v>1643</v>
      </c>
      <c r="D274" s="1597"/>
      <c r="E274" s="1597"/>
      <c r="F274" s="1597"/>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2"/>
      <c r="B278" s="1475"/>
      <c r="C278" s="1370">
        <v>3</v>
      </c>
      <c r="D278" s="14" t="s">
        <v>1639</v>
      </c>
      <c r="E278" s="1461" t="str">
        <f>IF(AND(E67="Введено верно"),"","Ошибки во вводе объемно-планировочных характеристик")</f>
        <v/>
      </c>
      <c r="F278" s="1462" t="str">
        <f t="shared" ref="F278:F287" si="44">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2"/>
      <c r="B279" s="1475"/>
      <c r="C279" s="1370">
        <v>4</v>
      </c>
      <c r="D279" s="14" t="s">
        <v>1647</v>
      </c>
      <c r="E279" s="1461" t="str">
        <f>IF(D179="","","Введите температурный график (поля 99-100)")</f>
        <v/>
      </c>
      <c r="F279" s="1462" t="str">
        <f t="shared" si="44"/>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2"/>
      <c r="B281" s="1475"/>
      <c r="C281" s="1370">
        <v>6</v>
      </c>
      <c r="D281" s="14" t="s">
        <v>1844</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4"/>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4"/>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2"/>
      <c r="B284" s="1475"/>
      <c r="C284" s="1370">
        <v>9</v>
      </c>
      <c r="D284" s="14" t="s">
        <v>1641</v>
      </c>
      <c r="E284" s="1461" t="str">
        <f>IF(AND(D67="",F23="",F24=""),"","МКД не подходит для программы из-за доли нежилых помещений или отсутствия в них ИПУ электроэнергии")</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2"/>
      <c r="B285" s="1475"/>
      <c r="C285" s="1370">
        <v>10</v>
      </c>
      <c r="D285" s="14" t="s">
        <v>1648</v>
      </c>
      <c r="E285" s="1461" t="str">
        <f>CONCATENATE(D247,E247)</f>
        <v/>
      </c>
      <c r="F285" s="1462" t="str">
        <f t="shared" si="44"/>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2"/>
      <c r="B286" s="1475"/>
      <c r="C286" s="1370">
        <v>11</v>
      </c>
      <c r="D286" s="14" t="s">
        <v>1646</v>
      </c>
      <c r="E286" s="1461" t="str">
        <f>IF(OR(AND(I252&gt;0,E252=""),AND(I253&gt;0,E253=""),AND(I254&gt;0,E254=""),AND(I255&gt;0,E255=""),AND(I256&gt;0,E256=""),AND(I257&gt;0,E257=""),AND(I258&gt;0,E258=""),AND(I259&gt;0,E259=""),AND(I260&gt;0,E260=""),AND(I261&gt;0,E261=""),AND(I262&gt;0,E262=""),AND(I263&gt;0,E263=""),E264=""),"Неполный ввод температуры по месяцам!","")</f>
        <v/>
      </c>
      <c r="F286" s="1462" t="str">
        <f t="shared" si="44"/>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2"/>
      <c r="B287" s="1475"/>
      <c r="C287" s="1370">
        <v>12</v>
      </c>
      <c r="D287" s="14" t="s">
        <v>1644</v>
      </c>
      <c r="E287" s="1461" t="str">
        <f>IF(E270="","","Введите тарифы")</f>
        <v/>
      </c>
      <c r="F287" s="1462" t="str">
        <f t="shared" si="44"/>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75" x14ac:dyDescent="0.3">
      <c r="B288" s="1475"/>
      <c r="C288" s="19"/>
      <c r="D288" s="1369" t="s">
        <v>1843</v>
      </c>
      <c r="E288" s="1463" t="str">
        <f>IF(AND(E287="",E277="",E276="",E284="",E282="",E280="",E278="",E286="",E281="",E279="",E285="",E283=""),"Ошибок нет","Исправьте ошибки ввода")</f>
        <v>Ошибок нет</v>
      </c>
      <c r="F288" s="490"/>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x14ac:dyDescent="0.25">
      <c r="A289" s="1292"/>
      <c r="B289" s="1479">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57.75" customHeight="1" thickBot="1" x14ac:dyDescent="0.4">
      <c r="B290" s="1475"/>
      <c r="C290" s="1544"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0" s="1544"/>
      <c r="E290" s="1544"/>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24" thickBot="1" x14ac:dyDescent="0.4">
      <c r="B291" s="1476" t="str">
        <f>IF(E288="Ошибок нет","8/8","?/?")</f>
        <v>8/8</v>
      </c>
      <c r="C291" s="1580" t="str">
        <f>IF(AND(E288="Ошибок нет",C290=""),"ГОТОВО!   Переходите на лист "&amp;CHAR(34)&amp;"Список мероприятий"&amp;CHAR(34),"")</f>
        <v>ГОТОВО!   Переходите на лист "Список мероприятий"</v>
      </c>
      <c r="D291" s="1580"/>
      <c r="E291" s="1580"/>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x14ac:dyDescent="0.25">
      <c r="B292" s="1475"/>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475"/>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1:E291"/>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0:E290"/>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30" priority="24">
      <formula>$D$15&lt;&gt;"выберите ниже"</formula>
    </cfRule>
  </conditionalFormatting>
  <conditionalFormatting sqref="E288">
    <cfRule type="expression" dxfId="129" priority="23">
      <formula>$E$288="Исправьте ошибки ввода"</formula>
    </cfRule>
  </conditionalFormatting>
  <conditionalFormatting sqref="D83">
    <cfRule type="expression" dxfId="128" priority="22">
      <formula>$D$83=""</formula>
    </cfRule>
  </conditionalFormatting>
  <conditionalFormatting sqref="D84">
    <cfRule type="expression" dxfId="127" priority="21">
      <formula>$D$84=""</formula>
    </cfRule>
  </conditionalFormatting>
  <conditionalFormatting sqref="D85">
    <cfRule type="expression" dxfId="126" priority="19">
      <formula>$D$85=""</formula>
    </cfRule>
  </conditionalFormatting>
  <conditionalFormatting sqref="D131:D135 F131:F135">
    <cfRule type="containsBlanks" dxfId="125" priority="18">
      <formula>LEN(TRIM(D131))=0</formula>
    </cfRule>
  </conditionalFormatting>
  <conditionalFormatting sqref="I131:I135">
    <cfRule type="containsBlanks" dxfId="124" priority="17">
      <formula>LEN(TRIM(I131))=0</formula>
    </cfRule>
  </conditionalFormatting>
  <conditionalFormatting sqref="D107:D112">
    <cfRule type="containsBlanks" dxfId="123" priority="16">
      <formula>LEN(TRIM(D107))=0</formula>
    </cfRule>
  </conditionalFormatting>
  <conditionalFormatting sqref="D14 D16">
    <cfRule type="containsBlanks" dxfId="122" priority="15">
      <formula>LEN(TRIM(D14))=0</formula>
    </cfRule>
  </conditionalFormatting>
  <conditionalFormatting sqref="E43">
    <cfRule type="expression" dxfId="121"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20"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9" priority="9">
      <formula>LEN(TRIM(D10))=0</formula>
    </cfRule>
  </conditionalFormatting>
  <conditionalFormatting sqref="C107">
    <cfRule type="containsBlanks" dxfId="118"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88</xdr:row>
                    <xdr:rowOff>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H38" sqref="H38"/>
    </sheetView>
  </sheetViews>
  <sheetFormatPr defaultColWidth="9.140625"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x14ac:dyDescent="0.2">
      <c r="A1" s="40"/>
      <c r="B1" s="1681" t="s">
        <v>1661</v>
      </c>
      <c r="C1" s="1681"/>
      <c r="D1" s="1681"/>
      <c r="F1" s="1625" t="s">
        <v>1654</v>
      </c>
      <c r="G1" s="1625"/>
      <c r="H1" s="1625"/>
      <c r="I1" s="42"/>
      <c r="AB1" s="1170"/>
      <c r="AC1" s="1170"/>
    </row>
    <row r="2" spans="1:45" ht="71.25" customHeight="1" x14ac:dyDescent="0.25">
      <c r="A2" s="1379" t="s">
        <v>1845</v>
      </c>
      <c r="B2" s="74"/>
      <c r="C2" s="1665" t="s">
        <v>1476</v>
      </c>
      <c r="D2" s="1665"/>
      <c r="E2" s="1182" t="s">
        <v>1256</v>
      </c>
      <c r="F2" s="1376" t="s">
        <v>1846</v>
      </c>
      <c r="G2" s="1377" t="s">
        <v>1847</v>
      </c>
      <c r="H2" s="1378" t="s">
        <v>1369</v>
      </c>
      <c r="I2" s="1378" t="s">
        <v>1367</v>
      </c>
      <c r="J2" s="1378" t="s">
        <v>1904</v>
      </c>
      <c r="K2" s="1378" t="s">
        <v>1368</v>
      </c>
      <c r="L2" s="1182" t="s">
        <v>1257</v>
      </c>
      <c r="M2" s="74"/>
      <c r="N2" s="74"/>
      <c r="O2" s="1670" t="s">
        <v>1524</v>
      </c>
      <c r="P2" s="1671"/>
      <c r="Q2" s="1672"/>
      <c r="R2" s="1664" t="s">
        <v>1486</v>
      </c>
      <c r="S2" s="1664"/>
      <c r="T2" s="1664" t="s">
        <v>1487</v>
      </c>
      <c r="U2" s="1664"/>
      <c r="V2" s="1669" t="s">
        <v>1488</v>
      </c>
      <c r="W2" s="1669"/>
      <c r="X2" s="1664" t="s">
        <v>1493</v>
      </c>
      <c r="Y2" s="1664"/>
      <c r="Z2" s="74" t="s">
        <v>1503</v>
      </c>
      <c r="AA2" s="1183" t="s">
        <v>894</v>
      </c>
      <c r="AB2" s="1636" t="s">
        <v>896</v>
      </c>
      <c r="AC2" s="1636"/>
      <c r="AD2" s="1184" t="s">
        <v>895</v>
      </c>
      <c r="AF2" s="74"/>
      <c r="AG2" s="74"/>
      <c r="AH2" s="74"/>
      <c r="AI2" s="74"/>
      <c r="AJ2" s="74"/>
      <c r="AK2" s="74"/>
      <c r="AL2" s="74"/>
      <c r="AM2" s="74"/>
      <c r="AN2" s="74"/>
      <c r="AO2" s="74"/>
      <c r="AP2" s="74"/>
      <c r="AQ2" s="74"/>
      <c r="AR2" s="74"/>
      <c r="AS2" s="74"/>
    </row>
    <row r="3" spans="1:45" ht="20.25" customHeight="1" x14ac:dyDescent="0.25">
      <c r="A3" s="74"/>
      <c r="B3" s="74"/>
      <c r="C3" s="74"/>
      <c r="D3" s="1656" t="s">
        <v>1521</v>
      </c>
      <c r="E3" s="1656"/>
      <c r="F3" s="1656"/>
      <c r="G3" s="1656"/>
      <c r="H3" s="1656"/>
      <c r="I3" s="1656"/>
      <c r="J3" s="1656"/>
      <c r="K3" s="1656"/>
      <c r="L3" s="1656"/>
      <c r="M3" s="74"/>
      <c r="N3" s="74"/>
      <c r="O3" s="1666" t="s">
        <v>1523</v>
      </c>
      <c r="P3" s="1667"/>
      <c r="Q3" s="1668"/>
      <c r="R3" s="1664" t="s">
        <v>1486</v>
      </c>
      <c r="S3" s="1664"/>
      <c r="T3" s="1664" t="s">
        <v>1487</v>
      </c>
      <c r="U3" s="1664"/>
      <c r="V3" s="1669" t="s">
        <v>1488</v>
      </c>
      <c r="W3" s="1669"/>
      <c r="X3" s="1664" t="s">
        <v>1493</v>
      </c>
      <c r="Y3" s="1664"/>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25">
      <c r="A4" s="74"/>
      <c r="B4" s="74"/>
      <c r="C4" s="1663"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14%!</v>
      </c>
      <c r="D4" s="1663"/>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3" t="str">
        <f>'Ввод исходных данных'!G206</f>
        <v/>
      </c>
      <c r="G4" s="1663"/>
      <c r="H4" s="1663"/>
      <c r="I4" s="1663"/>
      <c r="J4" s="1663"/>
      <c r="K4" s="1663"/>
      <c r="L4" s="1186" t="str">
        <f>'Ввод исходных данных'!I206</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25">
      <c r="A5" s="74"/>
      <c r="B5" s="74"/>
      <c r="C5" s="74"/>
      <c r="D5" s="1656" t="s">
        <v>1522</v>
      </c>
      <c r="E5" s="1656"/>
      <c r="F5" s="1656"/>
      <c r="G5" s="1656"/>
      <c r="H5" s="1656"/>
      <c r="I5" s="1656"/>
      <c r="J5" s="1656"/>
      <c r="K5" s="1656"/>
      <c r="L5" s="1656"/>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x14ac:dyDescent="0.2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0.25865100770151012</v>
      </c>
      <c r="T6" s="1194"/>
      <c r="U6" s="1195">
        <f>U7+U31+U36</f>
        <v>0</v>
      </c>
      <c r="V6" s="1194"/>
      <c r="W6" s="1196">
        <f>W7+W31+W36+W18+W54+W60+W71</f>
        <v>0.17341310205250152</v>
      </c>
      <c r="X6" s="1196"/>
      <c r="Y6" s="1196">
        <f>Y54+Y71+Y31</f>
        <v>-1.2283451254358589E-2</v>
      </c>
      <c r="Z6" s="74"/>
      <c r="AA6" s="74"/>
      <c r="AB6" s="1171"/>
      <c r="AC6" s="1172"/>
      <c r="AD6" s="75">
        <f>SUM(AD8:AD77)</f>
        <v>0</v>
      </c>
      <c r="AF6" s="74"/>
      <c r="AG6" s="74"/>
      <c r="AH6" s="74"/>
      <c r="AI6" s="74"/>
      <c r="AJ6" s="74"/>
      <c r="AK6" s="74"/>
      <c r="AL6" s="74"/>
      <c r="AM6" s="74"/>
      <c r="AN6" s="74"/>
      <c r="AO6" s="74"/>
      <c r="AP6" s="74"/>
      <c r="AQ6" s="74"/>
      <c r="AR6" s="74"/>
      <c r="AS6" s="74"/>
    </row>
    <row r="7" spans="1:45" ht="15.75" x14ac:dyDescent="0.25">
      <c r="A7" s="1190" t="str">
        <f>IF(SUM(AD8:AD15)&gt;0,"Ошибка","")</f>
        <v/>
      </c>
      <c r="B7" s="74"/>
      <c r="C7" s="1191"/>
      <c r="D7" s="1192" t="s">
        <v>1424</v>
      </c>
      <c r="E7" s="1182"/>
      <c r="F7" s="1193"/>
      <c r="G7" s="1193"/>
      <c r="H7" s="1193"/>
      <c r="I7" s="1193"/>
      <c r="J7" s="1193"/>
      <c r="K7" s="1193"/>
      <c r="L7" s="1182"/>
      <c r="M7" s="74"/>
      <c r="N7" s="74"/>
      <c r="O7" s="1198">
        <f>SUM(O9,O12,O14)</f>
        <v>145.58851318314717</v>
      </c>
      <c r="P7" s="1198"/>
      <c r="Q7" s="1198"/>
      <c r="R7" s="1199">
        <f>O7/'Расчет базового уровня'!$D$35*1163</f>
        <v>6.8713629018670799E-2</v>
      </c>
      <c r="S7" s="1200">
        <f>R7</f>
        <v>6.8713629018670799E-2</v>
      </c>
      <c r="T7" s="1201"/>
      <c r="U7" s="1201"/>
      <c r="V7" s="1199">
        <f>(O7+P7)/'Расчет базового уровня'!$D$9*1163</f>
        <v>4.6069194422639466E-2</v>
      </c>
      <c r="W7" s="1202">
        <f>(S7*'Расчет базового уровня'!$D$35+'Список мероприятий'!U7*'Расчет базового уровня'!$D$15)/'Расчет базового уровня'!$D$9</f>
        <v>4.6069194422639473E-2</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25">
      <c r="A8" s="1204" t="str">
        <f>IF(OR(AND(AA8=0,AB8=1),AND(AA8=1,AB8=0)),"Ошибка","")</f>
        <v/>
      </c>
      <c r="B8" s="74"/>
      <c r="C8" s="1205"/>
      <c r="D8" s="1206" t="s">
        <v>1291</v>
      </c>
      <c r="E8" s="1626" t="s">
        <v>1851</v>
      </c>
      <c r="F8" s="1380" t="s">
        <v>1848</v>
      </c>
      <c r="G8" s="1380" t="s">
        <v>1310</v>
      </c>
      <c r="H8" s="1380" t="s">
        <v>1309</v>
      </c>
      <c r="I8" s="1380" t="s">
        <v>1309</v>
      </c>
      <c r="J8" s="1380" t="s">
        <v>1309</v>
      </c>
      <c r="K8" s="1380" t="s">
        <v>1309</v>
      </c>
      <c r="L8" s="1641"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25">
      <c r="A9" s="1204" t="str">
        <f>IF(OR(AND(AA9=0,AC9=TRUE)),"Ошибка","")</f>
        <v/>
      </c>
      <c r="B9" s="74"/>
      <c r="C9" s="1205"/>
      <c r="D9" s="1208" t="s">
        <v>1925</v>
      </c>
      <c r="E9" s="1653"/>
      <c r="F9" s="1683">
        <f>'Расчет базового уровня'!B134</f>
        <v>5966</v>
      </c>
      <c r="G9" s="1630"/>
      <c r="H9" s="1633">
        <f>I9+J9+K9</f>
        <v>0</v>
      </c>
      <c r="I9" s="1632"/>
      <c r="J9" s="1632">
        <f>IF(AB9=1,G9*F9,0)</f>
        <v>0</v>
      </c>
      <c r="K9" s="1632"/>
      <c r="L9" s="1642"/>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4" t="str">
        <f>IF(OR(AND(AA10=0,AB10=1),AND(AA10=1,AB10=0)),"Ошибка","")</f>
        <v/>
      </c>
      <c r="B10" s="74"/>
      <c r="C10" s="1205"/>
      <c r="D10" s="1279" t="s">
        <v>1269</v>
      </c>
      <c r="E10" s="1653"/>
      <c r="F10" s="1684"/>
      <c r="G10" s="1686"/>
      <c r="H10" s="1633"/>
      <c r="I10" s="1632"/>
      <c r="J10" s="1632"/>
      <c r="K10" s="1632"/>
      <c r="L10" s="1642"/>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25">
      <c r="A11" s="1204" t="str">
        <f>IF(OR(AND(AA11=0,AB11=1),AND(AA11=1,AB11=0)),"Ошибка","")</f>
        <v/>
      </c>
      <c r="B11" s="74"/>
      <c r="C11" s="1205"/>
      <c r="D11" s="1279" t="s">
        <v>1268</v>
      </c>
      <c r="E11" s="1653"/>
      <c r="F11" s="1685"/>
      <c r="G11" s="1631"/>
      <c r="H11" s="1633"/>
      <c r="I11" s="1632"/>
      <c r="J11" s="1632"/>
      <c r="K11" s="1632"/>
      <c r="L11" s="1643"/>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25">
      <c r="A12" s="1204" t="str">
        <f>IF(OR(AND(AA12=0,AC12=TRUE)),"Ошибка","")</f>
        <v/>
      </c>
      <c r="B12" s="74"/>
      <c r="C12" s="1205"/>
      <c r="D12" s="1206" t="s">
        <v>1926</v>
      </c>
      <c r="E12" s="1627"/>
      <c r="F12" s="1276">
        <f>F9</f>
        <v>5966</v>
      </c>
      <c r="G12" s="1275"/>
      <c r="H12" s="1277">
        <v>4320000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145.58851318314717</v>
      </c>
      <c r="P12" s="1207"/>
      <c r="Q12" s="1207"/>
      <c r="R12" s="1209">
        <f>O12/'Расчет базового уровня'!$D$35*1163</f>
        <v>6.8713629018670799E-2</v>
      </c>
      <c r="S12" s="1210">
        <f>R12</f>
        <v>6.8713629018670799E-2</v>
      </c>
      <c r="T12" s="1189"/>
      <c r="U12" s="1189"/>
      <c r="V12" s="1209">
        <f>(O12+P12)/'Расчет базового уровня'!$D$9*1163</f>
        <v>4.6069194422639466E-2</v>
      </c>
      <c r="W12" s="1211">
        <f>(S12*'Расчет базового уровня'!$D$35+'Список мероприятий'!U12*'Расчет базового уровня'!$D$15)/'Расчет базового уровня'!$D$9</f>
        <v>4.6069194422639473E-2</v>
      </c>
      <c r="X12" s="1211"/>
      <c r="Y12" s="1211"/>
      <c r="Z12" s="74">
        <f>IF(AB12-H12=1,1,0)</f>
        <v>0</v>
      </c>
      <c r="AA12" s="1203">
        <f>IF(AND('Ввод исходных данных'!D16&lt;&gt;"кирпич",'Ввод исходных данных'!D16&lt;&gt;"монолит",'Список мероприятий'!AB9=0),1,0)</f>
        <v>1</v>
      </c>
      <c r="AB12" s="1175">
        <f>IF(AND(AC12=TRUE,AA12=1),1,0)</f>
        <v>1</v>
      </c>
      <c r="AC12" s="1176" t="b">
        <v>1</v>
      </c>
      <c r="AD12" s="1203">
        <f>IF(AND(AA12=1,A12="ОШИБКА"),1,0)</f>
        <v>0</v>
      </c>
      <c r="AE12" s="75" t="str">
        <f>IF(AB12=1,CONCATENATE(D12," - ",CHAR(10)),"")</f>
        <v xml:space="preserve">Заделка и герметизация межпанельных соединений (швов) и ликвидация мостиков холода -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25">
      <c r="A14" s="1204" t="str">
        <f>IF(AND(AA14=0,AC14=TRUE),"Ошибка","")</f>
        <v/>
      </c>
      <c r="B14" s="74"/>
      <c r="C14" s="1205"/>
      <c r="D14" s="1214" t="s">
        <v>1927</v>
      </c>
      <c r="E14" s="1626" t="s">
        <v>1849</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4" t="str">
        <f>IF(OR(AND(AA15=0,AB15=1),AND(AA15=1,AB15=0)),"Ошибка","")</f>
        <v/>
      </c>
      <c r="B15" s="74"/>
      <c r="C15" s="1205"/>
      <c r="D15" s="1281" t="s">
        <v>1271</v>
      </c>
      <c r="E15" s="1627"/>
      <c r="F15" s="1275">
        <f>'Ввод исходных данных'!G55</f>
        <v>36</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x14ac:dyDescent="0.2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25">
      <c r="A19" s="1204" t="str">
        <f>IF(AND(AA19=0,AB19=1),"Ошибка","")</f>
        <v/>
      </c>
      <c r="B19" s="74"/>
      <c r="C19" s="1205"/>
      <c r="D19" s="1214"/>
      <c r="E19" s="1626" t="s">
        <v>1850</v>
      </c>
      <c r="F19" s="1380" t="s">
        <v>1848</v>
      </c>
      <c r="G19" s="1380" t="s">
        <v>1310</v>
      </c>
      <c r="H19" s="1380" t="s">
        <v>1309</v>
      </c>
      <c r="I19" s="1380" t="s">
        <v>1309</v>
      </c>
      <c r="J19" s="1380" t="s">
        <v>1309</v>
      </c>
      <c r="K19" s="1380" t="s">
        <v>1309</v>
      </c>
      <c r="L19" s="1638"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25">
      <c r="A20" s="1204" t="str">
        <f>IF(AND(AA20=0,AC20=TRUE),"Ошибка","")</f>
        <v/>
      </c>
      <c r="B20" s="74"/>
      <c r="C20" s="1205"/>
      <c r="D20" s="1208" t="s">
        <v>1928</v>
      </c>
      <c r="E20" s="1653"/>
      <c r="F20" s="1637">
        <f>'Расчет базового уровня'!B138</f>
        <v>0</v>
      </c>
      <c r="G20" s="1632"/>
      <c r="H20" s="1633">
        <f>I20+J20+K20</f>
        <v>0</v>
      </c>
      <c r="I20" s="1632"/>
      <c r="J20" s="1632">
        <f>IF(AB20=1,G20*F20,0)</f>
        <v>0</v>
      </c>
      <c r="K20" s="1632"/>
      <c r="L20" s="1639"/>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0</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4" t="str">
        <f>IF(OR(AND(AA21=0,AB21=1),AND(AA21=1,AB21=0)),"Ошибка","")</f>
        <v/>
      </c>
      <c r="B21" s="74"/>
      <c r="C21" s="1205"/>
      <c r="D21" s="1280" t="s">
        <v>1269</v>
      </c>
      <c r="E21" s="1653"/>
      <c r="F21" s="1632"/>
      <c r="G21" s="1632"/>
      <c r="H21" s="1633"/>
      <c r="I21" s="1632"/>
      <c r="J21" s="1632"/>
      <c r="K21" s="1632"/>
      <c r="L21" s="1639"/>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25">
      <c r="A22" s="1204" t="str">
        <f>IF(OR(AND(AA22=0,AB22=1),AND(AA22=1,AB22=0)),"Ошибка","")</f>
        <v/>
      </c>
      <c r="B22" s="74"/>
      <c r="C22" s="1205"/>
      <c r="D22" s="1280" t="s">
        <v>1268</v>
      </c>
      <c r="E22" s="1627"/>
      <c r="F22" s="1632"/>
      <c r="G22" s="1632"/>
      <c r="H22" s="1633"/>
      <c r="I22" s="1632"/>
      <c r="J22" s="1632"/>
      <c r="K22" s="1632"/>
      <c r="L22" s="1640"/>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25">
      <c r="A24" s="1204" t="str">
        <f>IF(AND(AA24=0,AB24=1),"Ошибка","")</f>
        <v/>
      </c>
      <c r="B24" s="74"/>
      <c r="C24" s="1205"/>
      <c r="D24" s="1217" t="s">
        <v>1929</v>
      </c>
      <c r="E24" s="1239" t="s">
        <v>1852</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1</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25">
      <c r="A26" s="1204" t="str">
        <f>IF(AND(AA26=0,AB26=1),"Ошибка","")</f>
        <v/>
      </c>
      <c r="B26" s="74"/>
      <c r="C26" s="1205"/>
      <c r="D26" s="1214" t="s">
        <v>1292</v>
      </c>
      <c r="E26" s="1626" t="s">
        <v>1852</v>
      </c>
      <c r="F26" s="1380" t="s">
        <v>1848</v>
      </c>
      <c r="G26" s="1380" t="s">
        <v>1310</v>
      </c>
      <c r="H26" s="1380" t="s">
        <v>1309</v>
      </c>
      <c r="I26" s="1380" t="s">
        <v>1309</v>
      </c>
      <c r="J26" s="1380" t="s">
        <v>1309</v>
      </c>
      <c r="K26" s="1380" t="s">
        <v>1309</v>
      </c>
      <c r="L26" s="1641"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25">
      <c r="A27" s="1204" t="str">
        <f>IF(AND(AA27=0,AC27=TRUE),"Ошибка","")</f>
        <v/>
      </c>
      <c r="B27" s="74"/>
      <c r="C27" s="1205"/>
      <c r="D27" s="1208" t="s">
        <v>1930</v>
      </c>
      <c r="E27" s="1653"/>
      <c r="F27" s="1637">
        <f>'Расчет базового уровня'!B139+'Расчет базового уровня'!B140</f>
        <v>1460</v>
      </c>
      <c r="G27" s="1637"/>
      <c r="H27" s="1633">
        <f>I27+J27+K27</f>
        <v>0</v>
      </c>
      <c r="I27" s="1632"/>
      <c r="J27" s="1632">
        <f>IF(AB27=1,G27*F27,0)</f>
        <v>0</v>
      </c>
      <c r="K27" s="1632"/>
      <c r="L27" s="1642"/>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1</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4" t="str">
        <f>IF(OR(AND(AA28=0,AB28=1),AND(AA28=1,AB28=0)),"Ошибка","")</f>
        <v/>
      </c>
      <c r="B28" s="74"/>
      <c r="C28" s="1205"/>
      <c r="D28" s="1279" t="s">
        <v>1269</v>
      </c>
      <c r="E28" s="1653"/>
      <c r="F28" s="1632"/>
      <c r="G28" s="1632"/>
      <c r="H28" s="1633"/>
      <c r="I28" s="1632"/>
      <c r="J28" s="1632"/>
      <c r="K28" s="1632"/>
      <c r="L28" s="1642"/>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25">
      <c r="A29" s="1204" t="str">
        <f>IF(OR(AND(AA29=0,AB29=1),AND(AA29=1,AB29=0)),"Ошибка","")</f>
        <v/>
      </c>
      <c r="B29" s="74"/>
      <c r="C29" s="1205"/>
      <c r="D29" s="1279" t="s">
        <v>1268</v>
      </c>
      <c r="E29" s="1627"/>
      <c r="F29" s="1632"/>
      <c r="G29" s="1632"/>
      <c r="H29" s="1633"/>
      <c r="I29" s="1632"/>
      <c r="J29" s="1632"/>
      <c r="K29" s="1632"/>
      <c r="L29" s="1643"/>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x14ac:dyDescent="0.25">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-1330.90408200095</v>
      </c>
      <c r="R31" s="1224">
        <f>R32+R34+R35</f>
        <v>0.12548485919330571</v>
      </c>
      <c r="S31" s="1224">
        <f>S32+S34+S35</f>
        <v>0.12548485919330571</v>
      </c>
      <c r="T31" s="1225"/>
      <c r="U31" s="1224">
        <f>U32+U34+U35</f>
        <v>0</v>
      </c>
      <c r="V31" s="1225"/>
      <c r="W31" s="1224">
        <f>W32+W34+W35</f>
        <v>8.4131582887335701E-2</v>
      </c>
      <c r="X31" s="1224">
        <f>X32</f>
        <v>-1.2283451254358589E-2</v>
      </c>
      <c r="Y31" s="1224">
        <f>Y32</f>
        <v>-1.2283451254358589E-2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25">
      <c r="A32" s="1204" t="str">
        <f>IF(AND(AA32=0,AB32=1),"Ошибка","")</f>
        <v/>
      </c>
      <c r="B32" s="74"/>
      <c r="C32" s="1221"/>
      <c r="D32" s="1228" t="s">
        <v>1931</v>
      </c>
      <c r="E32" s="1679" t="s">
        <v>1853</v>
      </c>
      <c r="F32" s="1632"/>
      <c r="G32" s="1637"/>
      <c r="H32" s="1633">
        <v>800000</v>
      </c>
      <c r="I32" s="1632"/>
      <c r="J32" s="1632">
        <f>IF(AB32=1,G32*F32,0)</f>
        <v>0</v>
      </c>
      <c r="K32" s="1632"/>
      <c r="L32" s="1662"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265.87380608271872</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-1330.90408200095</v>
      </c>
      <c r="R32" s="1209">
        <f>O32/'Расчет базового уровня'!$D$35*1163</f>
        <v>0.12548485919330571</v>
      </c>
      <c r="S32" s="1210">
        <f>R32</f>
        <v>0.12548485919330571</v>
      </c>
      <c r="T32" s="1209">
        <f>IF('Система ГВС'!F3=2,0,P32/'Расчет базового уровня'!$D$85*1163)</f>
        <v>0</v>
      </c>
      <c r="U32" s="1210">
        <f>T32*(1-U39)</f>
        <v>0</v>
      </c>
      <c r="V32" s="1209">
        <f>(O32+P32)/'Расчет базового уровня'!$D$9*1163</f>
        <v>8.4131582887335701E-2</v>
      </c>
      <c r="W32" s="1211">
        <f>(S32*'Расчет базового уровня'!$D$35+'Список мероприятий'!U32*'Расчет базового уровня'!$D$15)/'Расчет базового уровня'!$D$9</f>
        <v>8.4131582887335701E-2</v>
      </c>
      <c r="X32" s="1209">
        <f>Q32/'Расчет базового уровня'!$D$100</f>
        <v>-1.2283451254358589E-2</v>
      </c>
      <c r="Y32" s="1211">
        <f>X32</f>
        <v>-1.2283451254358589E-2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4" t="str">
        <f>IF(AND(AB32=1,AB33=0),"Ошибка","")</f>
        <v/>
      </c>
      <c r="B33" s="74"/>
      <c r="C33" s="1429" t="str">
        <f>IF(AB32=1,"Выберите тип узла","")</f>
        <v>Выберите тип узла</v>
      </c>
      <c r="D33" s="1278" t="s">
        <v>1266</v>
      </c>
      <c r="E33" s="1680"/>
      <c r="F33" s="1632"/>
      <c r="G33" s="1632"/>
      <c r="H33" s="1633"/>
      <c r="I33" s="1632"/>
      <c r="J33" s="1632"/>
      <c r="K33" s="1632"/>
      <c r="L33" s="1655"/>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x14ac:dyDescent="0.25">
      <c r="A34" s="1204" t="str">
        <f>IF(AND(AA34=0,AC34=TRUE),"Ошибка","")</f>
        <v/>
      </c>
      <c r="B34" s="74"/>
      <c r="C34" s="1221"/>
      <c r="D34" s="1229" t="s">
        <v>1945</v>
      </c>
      <c r="E34" s="1230" t="s">
        <v>1482</v>
      </c>
      <c r="F34" s="1275"/>
      <c r="G34" s="1275"/>
      <c r="H34" s="1277">
        <f>I34+J34+K34</f>
        <v>0</v>
      </c>
      <c r="I34" s="1275"/>
      <c r="J34" s="1275"/>
      <c r="K34" s="1275"/>
      <c r="L34" s="1231" t="s">
        <v>1854</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4" t="str">
        <f>IF(AND(AA35=0,AB35=1),"Ошибка","")</f>
        <v/>
      </c>
      <c r="B35" s="74"/>
      <c r="C35" s="1221"/>
      <c r="D35" s="1232" t="s">
        <v>1932</v>
      </c>
      <c r="E35" s="1230" t="s">
        <v>1483</v>
      </c>
      <c r="F35" s="1275"/>
      <c r="G35" s="1275"/>
      <c r="H35" s="1509">
        <f>I35+J35+K35</f>
        <v>0</v>
      </c>
      <c r="I35" s="1275"/>
      <c r="J35" s="1275">
        <f>F35*G35</f>
        <v>0</v>
      </c>
      <c r="K35" s="1275"/>
      <c r="L35" s="1231" t="s">
        <v>1855</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2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6.4452519489533636E-2</v>
      </c>
      <c r="T36" s="1225"/>
      <c r="U36" s="1235">
        <f>U37+U38+U39</f>
        <v>0</v>
      </c>
      <c r="V36" s="1225"/>
      <c r="W36" s="1235">
        <f>W37+W38+W39</f>
        <v>4.3212324742526342E-2</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25">
      <c r="A37" s="1204" t="str">
        <f>IF(AND(AA37=0,AB37=1),"Ошибка","")</f>
        <v/>
      </c>
      <c r="B37" s="74"/>
      <c r="C37" s="1221"/>
      <c r="D37" s="1236" t="s">
        <v>1295</v>
      </c>
      <c r="E37" s="1230" t="s">
        <v>1857</v>
      </c>
      <c r="F37" s="1276"/>
      <c r="G37" s="1275"/>
      <c r="H37" s="1382">
        <v>800000</v>
      </c>
      <c r="I37" s="1276"/>
      <c r="J37" s="1508">
        <f>IF(AB37=1,G37*F37,0)</f>
        <v>0</v>
      </c>
      <c r="K37" s="1276"/>
      <c r="L37" s="946"/>
      <c r="M37" s="74"/>
      <c r="N37" s="74"/>
      <c r="O37" s="1207">
        <f>IF(AB37=1,('Расчет базового уровня'!D158-'Расчет после реализации'!D158)*'Расчет базового уровня'!D13,0)</f>
        <v>169.50175999999968</v>
      </c>
      <c r="P37" s="1237"/>
      <c r="Q37" s="1237"/>
      <c r="R37" s="1211">
        <f>O37/'Расчет базового уровня'!$D$35/0.86*1000</f>
        <v>7.9985602591533367E-2</v>
      </c>
      <c r="S37" s="1211">
        <f>R37*(1-R31-S18-S7-S60-S71)</f>
        <v>6.4452519489533636E-2</v>
      </c>
      <c r="T37" s="1189"/>
      <c r="U37" s="1189"/>
      <c r="V37" s="1209">
        <f>(O37+P37)/'Расчет базового уровня'!$D$9/0.86*1000</f>
        <v>5.3626512373550761E-2</v>
      </c>
      <c r="W37" s="1211">
        <f>(S37*'Расчет базового уровня'!$D$35+'Список мероприятий'!U37*'Расчет базового уровня'!$D$15)/'Расчет базового уровня'!$D$9</f>
        <v>4.3212324742526342E-2</v>
      </c>
      <c r="X37" s="1211"/>
      <c r="Y37" s="1211"/>
      <c r="Z37" s="74">
        <f>IF(AB37-H37=1,1,0)</f>
        <v>0</v>
      </c>
      <c r="AA37" s="1203">
        <v>1</v>
      </c>
      <c r="AB37" s="1175">
        <f>IF(AC37=TRUE,1,0)</f>
        <v>1</v>
      </c>
      <c r="AC37" s="1176" t="b">
        <v>1</v>
      </c>
      <c r="AD37" s="1203">
        <f>IF(AND(AA37=1,A37="ОШИБКА"),1,0)</f>
        <v>0</v>
      </c>
      <c r="AE37" s="75" t="str">
        <f>IF(AB37=1,CONCATENATE(D37,CHAR(10)),"")</f>
        <v xml:space="preserve">Ремонт (замена) трубопроводов внутридомовой системы отопления в сочетании с тепловой изоляцией (в неотапливаемых помещениях)
</v>
      </c>
      <c r="AF37" s="74"/>
      <c r="AG37" s="74"/>
      <c r="AH37" s="74"/>
      <c r="AI37" s="74"/>
      <c r="AJ37" s="74"/>
      <c r="AK37" s="74"/>
      <c r="AL37" s="74"/>
      <c r="AM37" s="74"/>
      <c r="AN37" s="74"/>
      <c r="AO37" s="74"/>
      <c r="AP37" s="74"/>
      <c r="AQ37" s="74"/>
      <c r="AR37" s="74"/>
      <c r="AS37" s="74"/>
    </row>
    <row r="38" spans="1:45" ht="101.45" customHeight="1" x14ac:dyDescent="0.25">
      <c r="A38" s="1204" t="str">
        <f>IF(AND(AA38=0,AC38=TRUE),"Ошибка","")</f>
        <v/>
      </c>
      <c r="B38" s="74"/>
      <c r="C38" s="1221"/>
      <c r="D38" s="1238" t="s">
        <v>1933</v>
      </c>
      <c r="E38" s="1230" t="s">
        <v>1858</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4" t="str">
        <f>IF(AND(AA39=0,AC39=TRUE),"Ошибка","")</f>
        <v/>
      </c>
      <c r="B39" s="74"/>
      <c r="C39" s="1221"/>
      <c r="D39" s="1228" t="s">
        <v>1934</v>
      </c>
      <c r="E39" s="1239" t="s">
        <v>1273</v>
      </c>
      <c r="F39" s="1275"/>
      <c r="G39" s="1275"/>
      <c r="H39" s="1277">
        <f>I39+J39+K39</f>
        <v>0</v>
      </c>
      <c r="I39" s="1275"/>
      <c r="J39" s="1275"/>
      <c r="K39" s="1275"/>
      <c r="L39" s="1231" t="s">
        <v>1880</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25">
      <c r="A41" s="1240"/>
      <c r="B41" s="74"/>
      <c r="C41" s="1221"/>
      <c r="D41" s="1273">
        <f>'Ввод исходных данных'!G49+'Серии планировка'!AB76</f>
        <v>296</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25">
      <c r="A42" s="1242" t="str">
        <f>IF(AND(AA42=0,AB42=1),"Ошибка","")</f>
        <v/>
      </c>
      <c r="B42" s="74"/>
      <c r="C42" s="1221"/>
      <c r="D42" s="1214" t="s">
        <v>1276</v>
      </c>
      <c r="E42" s="1383" t="s">
        <v>1856</v>
      </c>
      <c r="F42" s="1275"/>
      <c r="G42" s="1275"/>
      <c r="H42" s="1277">
        <f>H43+H44+H45</f>
        <v>0</v>
      </c>
      <c r="I42" s="1275"/>
      <c r="J42" s="1275"/>
      <c r="K42" s="1275"/>
      <c r="L42" s="1622" t="s">
        <v>1881</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2" t="str">
        <f>IF(AND(AA43=0,AC43=TRUE),"Ошибка","")</f>
        <v/>
      </c>
      <c r="B43" s="74"/>
      <c r="C43" s="1243"/>
      <c r="D43" s="1244" t="s">
        <v>1350</v>
      </c>
      <c r="E43" s="1245"/>
      <c r="F43" s="1275"/>
      <c r="G43" s="1275"/>
      <c r="H43" s="1430">
        <f t="shared" ref="H43:H45" si="0">I43+J43+K43</f>
        <v>0</v>
      </c>
      <c r="I43" s="1275"/>
      <c r="J43" s="1275"/>
      <c r="K43" s="1275"/>
      <c r="L43" s="1623"/>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25">
      <c r="A44" s="1242" t="str">
        <f>IF(AND(AA44=0,AC44=TRUE),"Ошибка","")</f>
        <v/>
      </c>
      <c r="B44" s="74"/>
      <c r="C44" s="1243"/>
      <c r="D44" s="1244" t="s">
        <v>541</v>
      </c>
      <c r="E44" s="1245"/>
      <c r="F44" s="1275"/>
      <c r="G44" s="1275"/>
      <c r="H44" s="1430">
        <f t="shared" si="0"/>
        <v>0</v>
      </c>
      <c r="I44" s="1275"/>
      <c r="J44" s="1275"/>
      <c r="K44" s="1275"/>
      <c r="L44" s="1623"/>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25">
      <c r="A45" s="1242" t="str">
        <f>IF(AND(AA45=0,AC45=TRUE),"Ошибка","")</f>
        <v/>
      </c>
      <c r="B45" s="74"/>
      <c r="C45" s="1243"/>
      <c r="D45" s="1244" t="s">
        <v>1351</v>
      </c>
      <c r="E45" s="1245"/>
      <c r="F45" s="1275"/>
      <c r="G45" s="1275"/>
      <c r="H45" s="1430">
        <f t="shared" si="0"/>
        <v>0</v>
      </c>
      <c r="I45" s="1275"/>
      <c r="J45" s="1275"/>
      <c r="K45" s="1275"/>
      <c r="L45" s="1624"/>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x14ac:dyDescent="0.25">
      <c r="A47" s="1242" t="str">
        <f>IF(AND(AA47=0,AB47=1),"Ошибка","")</f>
        <v/>
      </c>
      <c r="B47" s="74"/>
      <c r="C47" s="1221"/>
      <c r="D47" s="1246" t="s">
        <v>1383</v>
      </c>
      <c r="E47" s="1383" t="s">
        <v>1856</v>
      </c>
      <c r="F47" s="1275"/>
      <c r="G47" s="1275"/>
      <c r="H47" s="1430">
        <f>H48+H49+H50</f>
        <v>0</v>
      </c>
      <c r="I47" s="1275"/>
      <c r="J47" s="1275"/>
      <c r="K47" s="1275"/>
      <c r="L47" s="1657" t="s">
        <v>1882</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2" t="str">
        <f>IF(AND(AA48=0,AC48=TRUE),"Ошибка","")</f>
        <v/>
      </c>
      <c r="B48" s="74"/>
      <c r="C48" s="1243"/>
      <c r="D48" s="1244" t="s">
        <v>1350</v>
      </c>
      <c r="E48" s="1245"/>
      <c r="F48" s="1275"/>
      <c r="G48" s="1275"/>
      <c r="H48" s="1430">
        <f t="shared" ref="H48:H50" si="2">I48+J48+K48</f>
        <v>0</v>
      </c>
      <c r="I48" s="1275"/>
      <c r="J48" s="1275"/>
      <c r="K48" s="1275"/>
      <c r="L48" s="1658"/>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25">
      <c r="A49" s="1242" t="str">
        <f>IF(AND(AA49=0,AC49=TRUE),"Ошибка","")</f>
        <v/>
      </c>
      <c r="B49" s="74"/>
      <c r="C49" s="1243"/>
      <c r="D49" s="1244" t="s">
        <v>541</v>
      </c>
      <c r="E49" s="1245"/>
      <c r="F49" s="1275"/>
      <c r="G49" s="1275"/>
      <c r="H49" s="1430">
        <f t="shared" si="2"/>
        <v>0</v>
      </c>
      <c r="I49" s="1275"/>
      <c r="J49" s="1275"/>
      <c r="K49" s="1275"/>
      <c r="L49" s="1658"/>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25">
      <c r="A50" s="1242" t="str">
        <f>IF(AND(AA50=0,AC50=TRUE),"Ошибка","")</f>
        <v/>
      </c>
      <c r="B50" s="74"/>
      <c r="C50" s="1243"/>
      <c r="D50" s="1244" t="s">
        <v>1351</v>
      </c>
      <c r="E50" s="1245"/>
      <c r="F50" s="1275"/>
      <c r="G50" s="1275"/>
      <c r="H50" s="1430">
        <f t="shared" si="2"/>
        <v>0</v>
      </c>
      <c r="I50" s="1275"/>
      <c r="J50" s="1275"/>
      <c r="K50" s="1275"/>
      <c r="L50" s="1659"/>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x14ac:dyDescent="0.25">
      <c r="A52" s="1242" t="str">
        <f>IF(AND(AA52=0,AC52=TRUE),"Ошибка","")</f>
        <v/>
      </c>
      <c r="B52" s="74"/>
      <c r="C52" s="1221"/>
      <c r="D52" s="1247" t="s">
        <v>1935</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x14ac:dyDescent="0.25">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x14ac:dyDescent="0.25">
      <c r="A55" s="1242" t="str">
        <f>IF(AND(AA55=0,AC55=TRUE),"Ошибка","")</f>
        <v/>
      </c>
      <c r="B55" s="74"/>
      <c r="C55" s="1249"/>
      <c r="D55" s="1247" t="s">
        <v>1936</v>
      </c>
      <c r="E55" s="1626" t="s">
        <v>1859</v>
      </c>
      <c r="F55" s="1282"/>
      <c r="G55" s="1282"/>
      <c r="H55" s="1430">
        <f>I55+J55+K55</f>
        <v>0</v>
      </c>
      <c r="I55" s="1282"/>
      <c r="J55" s="1282"/>
      <c r="K55" s="1282"/>
      <c r="L55" s="1651"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2" t="str">
        <f>IF(AND(AA56=0,AC56=TRUE),"Ошибка","")</f>
        <v/>
      </c>
      <c r="B56" s="74"/>
      <c r="C56" s="1249"/>
      <c r="D56" s="1247" t="s">
        <v>1937</v>
      </c>
      <c r="E56" s="1627"/>
      <c r="F56" s="1630"/>
      <c r="G56" s="1630"/>
      <c r="H56" s="1634">
        <f>I56+J56+K56</f>
        <v>0</v>
      </c>
      <c r="I56" s="1630"/>
      <c r="J56" s="1630"/>
      <c r="K56" s="1630"/>
      <c r="L56" s="1652"/>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2"/>
      <c r="B57" s="74"/>
      <c r="C57" s="1384" t="s">
        <v>1865</v>
      </c>
      <c r="D57" s="1385"/>
      <c r="E57" s="1245" t="s">
        <v>1883</v>
      </c>
      <c r="F57" s="1631"/>
      <c r="G57" s="1631"/>
      <c r="H57" s="1635"/>
      <c r="I57" s="1631"/>
      <c r="J57" s="1631"/>
      <c r="K57" s="1631"/>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x14ac:dyDescent="0.25">
      <c r="A58" s="1242" t="str">
        <f>IF(AND(AA58=0,AC58=TRUE),"Ошибка","")</f>
        <v/>
      </c>
      <c r="B58" s="74"/>
      <c r="C58" s="1249"/>
      <c r="D58" s="1247" t="s">
        <v>1938</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x14ac:dyDescent="0.2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25">
      <c r="A61" s="1204" t="str">
        <f>IF(AND(AA61=0,AB61=1),"Ошибка","")</f>
        <v/>
      </c>
      <c r="B61" s="74"/>
      <c r="C61" s="1205"/>
      <c r="D61" s="1214" t="s">
        <v>1293</v>
      </c>
      <c r="E61" s="1626" t="s">
        <v>1860</v>
      </c>
      <c r="F61" s="1380" t="s">
        <v>1848</v>
      </c>
      <c r="G61" s="1380" t="s">
        <v>1310</v>
      </c>
      <c r="H61" s="1380" t="s">
        <v>1309</v>
      </c>
      <c r="I61" s="1380" t="s">
        <v>1309</v>
      </c>
      <c r="J61" s="1380" t="s">
        <v>1309</v>
      </c>
      <c r="K61" s="1380" t="s">
        <v>1309</v>
      </c>
      <c r="L61" s="1651"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25">
      <c r="A62" s="1204" t="str">
        <f>IF(AND(AA62=0,AC62=TRUE),"Ошибка","")</f>
        <v/>
      </c>
      <c r="B62" s="74"/>
      <c r="C62" s="1205"/>
      <c r="D62" s="1208" t="s">
        <v>1939</v>
      </c>
      <c r="E62" s="1653"/>
      <c r="F62" s="1637">
        <f>'Расчет базового уровня'!B141</f>
        <v>0</v>
      </c>
      <c r="G62" s="1637"/>
      <c r="H62" s="1633">
        <f>I62+J62+K62</f>
        <v>0</v>
      </c>
      <c r="I62" s="1632"/>
      <c r="J62" s="1632">
        <f>IF(AB62=1,G62*F62,0)</f>
        <v>0</v>
      </c>
      <c r="K62" s="1632"/>
      <c r="L62" s="1654"/>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0</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4" t="str">
        <f>IF(OR(AND(AA63=0,AB63=1),AND(AA63=1,AB63=0)),"Ошибка","")</f>
        <v/>
      </c>
      <c r="B63" s="74"/>
      <c r="C63" s="1205"/>
      <c r="D63" s="1279" t="s">
        <v>1269</v>
      </c>
      <c r="E63" s="1653"/>
      <c r="F63" s="1632"/>
      <c r="G63" s="1632"/>
      <c r="H63" s="1633"/>
      <c r="I63" s="1632"/>
      <c r="J63" s="1632"/>
      <c r="K63" s="1632"/>
      <c r="L63" s="1654"/>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25">
      <c r="A64" s="1204" t="str">
        <f>IF(OR(AND(AA64=0,AB64=1),AND(AA64=1,AB64=0)),"Ошибка","")</f>
        <v/>
      </c>
      <c r="B64" s="74"/>
      <c r="C64" s="1205"/>
      <c r="D64" s="1279" t="s">
        <v>1268</v>
      </c>
      <c r="E64" s="1627"/>
      <c r="F64" s="1632"/>
      <c r="G64" s="1632"/>
      <c r="H64" s="1633"/>
      <c r="I64" s="1632"/>
      <c r="J64" s="1632"/>
      <c r="K64" s="1632"/>
      <c r="L64" s="1655"/>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25">
      <c r="A66" s="1204" t="str">
        <f>IF(AND(AA66=0,AB66=1),"Ошибка","")</f>
        <v/>
      </c>
      <c r="B66" s="74"/>
      <c r="C66" s="1205"/>
      <c r="D66" s="1206" t="s">
        <v>1294</v>
      </c>
      <c r="E66" s="1626" t="s">
        <v>1272</v>
      </c>
      <c r="F66" s="1380" t="s">
        <v>1848</v>
      </c>
      <c r="G66" s="1380" t="s">
        <v>1310</v>
      </c>
      <c r="H66" s="1380" t="s">
        <v>1309</v>
      </c>
      <c r="I66" s="1380" t="s">
        <v>1309</v>
      </c>
      <c r="J66" s="1380" t="s">
        <v>1309</v>
      </c>
      <c r="K66" s="1380" t="s">
        <v>1309</v>
      </c>
      <c r="L66" s="1651"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25">
      <c r="A67" s="1204" t="str">
        <f>IF(AND(AA67=0,AC67=TRUE),"Ошибка","")</f>
        <v/>
      </c>
      <c r="B67" s="74"/>
      <c r="C67" s="1205"/>
      <c r="D67" s="1216" t="str">
        <f>IF(AA67=1,"Повышение теплозащиты перекрытия над подвалом","неприменимо для данного МКД")</f>
        <v>Повышение теплозащиты перекрытия над подвалом</v>
      </c>
      <c r="E67" s="1653"/>
      <c r="F67" s="1637">
        <f>'Расчет базового уровня'!B142</f>
        <v>1460</v>
      </c>
      <c r="G67" s="1637"/>
      <c r="H67" s="1633">
        <f>I67+J67+K67</f>
        <v>0</v>
      </c>
      <c r="I67" s="1632"/>
      <c r="J67" s="1632">
        <f>IF(AB67=1,G67*F67,0)</f>
        <v>0</v>
      </c>
      <c r="K67" s="1632"/>
      <c r="L67" s="1654"/>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1</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4" t="str">
        <f>IF(OR(AND(AA68=0,AB68=1),AND(AA68=1,AB68=0)),"Ошибка","")</f>
        <v/>
      </c>
      <c r="B68" s="74"/>
      <c r="C68" s="1205"/>
      <c r="D68" s="1280" t="s">
        <v>1269</v>
      </c>
      <c r="E68" s="1653"/>
      <c r="F68" s="1632"/>
      <c r="G68" s="1632"/>
      <c r="H68" s="1633"/>
      <c r="I68" s="1632"/>
      <c r="J68" s="1632"/>
      <c r="K68" s="1632"/>
      <c r="L68" s="1654"/>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25">
      <c r="A69" s="1204" t="str">
        <f>IF(OR(AND(AA69=0,AB69=1),AND(AA69=1,AB69=0)),"Ошибка","")</f>
        <v/>
      </c>
      <c r="B69" s="74"/>
      <c r="C69" s="1205"/>
      <c r="D69" s="1279" t="s">
        <v>1268</v>
      </c>
      <c r="E69" s="1627"/>
      <c r="F69" s="1632"/>
      <c r="G69" s="1632"/>
      <c r="H69" s="1633"/>
      <c r="I69" s="1632"/>
      <c r="J69" s="1632"/>
      <c r="K69" s="1632"/>
      <c r="L69" s="1655"/>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x14ac:dyDescent="0.25">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25">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25">
      <c r="A73" s="1204" t="str">
        <f>IF(AND(AA73=0,AC73=TRUE),"Ошибка","")</f>
        <v/>
      </c>
      <c r="B73" s="74"/>
      <c r="C73" s="1003"/>
      <c r="D73" s="1214" t="s">
        <v>1940</v>
      </c>
      <c r="E73" s="1218" t="s">
        <v>1861</v>
      </c>
      <c r="F73" s="1275">
        <v>6</v>
      </c>
      <c r="G73" s="1275"/>
      <c r="H73" s="1277"/>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04" t="str">
        <f>IF(AND(AA74=0,AC74=TRUE),"Ошибка","")</f>
        <v/>
      </c>
      <c r="B74" s="74"/>
      <c r="C74" s="1003"/>
      <c r="D74" s="1206" t="s">
        <v>1941</v>
      </c>
      <c r="E74" s="1626" t="s">
        <v>1296</v>
      </c>
      <c r="F74" s="1632"/>
      <c r="G74" s="1632"/>
      <c r="H74" s="1633"/>
      <c r="I74" s="1632"/>
      <c r="J74" s="1632">
        <f>IF(AB74=1,G74*F74,0)</f>
        <v>0</v>
      </c>
      <c r="K74" s="1632"/>
      <c r="L74" s="1628"/>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2"/>
      <c r="B75" s="74"/>
      <c r="C75" s="1003"/>
      <c r="D75" s="1283" t="s">
        <v>461</v>
      </c>
      <c r="E75" s="1627"/>
      <c r="F75" s="1632"/>
      <c r="G75" s="1632"/>
      <c r="H75" s="1633"/>
      <c r="I75" s="1632"/>
      <c r="J75" s="1632"/>
      <c r="K75" s="1632"/>
      <c r="L75" s="1629"/>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25">
      <c r="A76" s="1204" t="str">
        <f>IF(AND(AA76=0,AC76=TRUE),"Ошибка","")</f>
        <v/>
      </c>
      <c r="B76" s="74"/>
      <c r="C76" s="1003"/>
      <c r="D76" s="1206" t="s">
        <v>1942</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x14ac:dyDescent="0.35">
      <c r="A79" s="74"/>
      <c r="B79" s="1682" t="str">
        <f>IF(AND('Список мероприятий'!$AB$32=0,'Система отопления'!F5=0,'Система отопления'!F6=0),"Необходимо выбрать установку АУУ СО","")</f>
        <v/>
      </c>
      <c r="C79" s="1682"/>
      <c r="D79" s="1682"/>
      <c r="E79" s="1682"/>
      <c r="F79" s="1682"/>
      <c r="G79" s="1682"/>
      <c r="H79" s="1682"/>
      <c r="I79" s="1682"/>
      <c r="J79" s="1682"/>
      <c r="K79" s="1682"/>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50"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данных'!E288="Исправьте ошибки ввода","Есть ошибки ввода исходных данных",""))</f>
        <v xml:space="preserve">ВЫБРАННЫЕ МЕРОПРИЯТИЯ: </v>
      </c>
      <c r="C80" s="1650"/>
      <c r="D80" s="1650"/>
      <c r="E80" s="1650"/>
      <c r="F80" s="1650"/>
      <c r="G80" s="1650"/>
      <c r="H80" s="1650"/>
      <c r="I80" s="1650"/>
      <c r="J80" s="1650"/>
      <c r="K80" s="1650"/>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47" t="str">
        <f>IF(списки!C53=1,CONCATENATE(AE9,AE12,AE14,AE20,AE24,AE27,AE37,AE38,AE39,AE42,AE47,AE52,AE32,AE34,AE35,AE55,AE56,AE58,AE62,AE67,AE73,AE74,AE76),"")</f>
        <v xml:space="preserve">Заделка и герметизация межпанельных соединений (швов) и ликвидация мостиков холода - 
Ремонт (замена) трубопроводов внутридомовой системы отопления в сочетании с тепловой изоляцией (в неотапливаемых помещениях)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48"/>
      <c r="D81" s="1648"/>
      <c r="E81" s="1648"/>
      <c r="F81" s="1648"/>
      <c r="G81" s="1648"/>
      <c r="H81" s="1648"/>
      <c r="I81" s="1648"/>
      <c r="J81" s="1648"/>
      <c r="K81" s="1649"/>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25">
      <c r="A84" s="74"/>
      <c r="B84" s="74"/>
      <c r="C84" s="74"/>
      <c r="D84" s="1261" t="s">
        <v>834</v>
      </c>
      <c r="E84" s="1269" t="s">
        <v>1353</v>
      </c>
      <c r="F84" s="1262" t="s">
        <v>868</v>
      </c>
      <c r="G84" s="1660" t="s">
        <v>869</v>
      </c>
      <c r="H84" s="1660"/>
      <c r="I84" s="1660"/>
      <c r="J84" s="1661"/>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25">
      <c r="A85" s="74"/>
      <c r="B85" s="74"/>
      <c r="C85" s="74"/>
      <c r="D85" s="1644" t="s">
        <v>1354</v>
      </c>
      <c r="E85" s="1645"/>
      <c r="F85" s="1645"/>
      <c r="G85" s="1645"/>
      <c r="H85" s="1645"/>
      <c r="I85" s="1645"/>
      <c r="J85" s="1646"/>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25">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5920000</v>
      </c>
      <c r="G86" s="1616"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данных'!E288="Исправьте ошибки ввода","Есть ошибки ввода исходных данных",""))</f>
        <v/>
      </c>
      <c r="H86" s="1617"/>
      <c r="I86" s="1617"/>
      <c r="J86" s="1618"/>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x14ac:dyDescent="0.25">
      <c r="A87" s="74"/>
      <c r="B87" s="74"/>
      <c r="C87" s="74"/>
      <c r="D87" s="1398" t="s">
        <v>1633</v>
      </c>
      <c r="E87" s="1399" t="s">
        <v>1356</v>
      </c>
      <c r="F87" s="1426">
        <f>IF(списки!C51=1,"",F86/'Экономический расчет'!C26)</f>
        <v>405.64615595450186</v>
      </c>
      <c r="G87" s="1619"/>
      <c r="H87" s="1620"/>
      <c r="I87" s="1620"/>
      <c r="J87" s="1621"/>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398" t="s">
        <v>1862</v>
      </c>
      <c r="E88" s="1399" t="s">
        <v>1356</v>
      </c>
      <c r="F88" s="1426">
        <f>IF(списки!C51=1,"",F86/('Ввод исходных данных'!G45+'Ввод исходных данных'!D23))</f>
        <v>468.72525732383212</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x14ac:dyDescent="0.25">
      <c r="A89" s="74"/>
      <c r="B89" s="74"/>
      <c r="C89" s="74"/>
      <c r="D89" s="1398" t="s">
        <v>1884</v>
      </c>
      <c r="E89" s="1399" t="s">
        <v>1309</v>
      </c>
      <c r="F89" s="1426">
        <f>IF(списки!C53=0,"",'Экономический расчет'!C18-'Экономический расчет'!D18)</f>
        <v>933423.18748815078</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25">
      <c r="A90" s="74"/>
      <c r="B90" s="74"/>
      <c r="C90" s="74"/>
      <c r="D90" s="1388" t="s">
        <v>1863</v>
      </c>
      <c r="E90" s="1399" t="s">
        <v>1181</v>
      </c>
      <c r="F90" s="1427">
        <f>'Экономический расчет'!C35</f>
        <v>0.17185285923742799</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25">
      <c r="A91" s="74"/>
      <c r="B91" s="74"/>
      <c r="C91" s="74"/>
      <c r="D91" s="1388" t="s">
        <v>1357</v>
      </c>
      <c r="E91" s="1399" t="s">
        <v>1358</v>
      </c>
      <c r="F91" s="1428">
        <f>IF(списки!C51=1,"",'Экономический расчет'!C36)</f>
        <v>6.3422465601382463</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25">
      <c r="A92" s="74"/>
      <c r="B92" s="74"/>
      <c r="C92" s="74"/>
      <c r="D92" s="1644" t="s">
        <v>1359</v>
      </c>
      <c r="E92" s="1645"/>
      <c r="F92" s="1645"/>
      <c r="G92" s="1645"/>
      <c r="H92" s="1645"/>
      <c r="I92" s="1645"/>
      <c r="J92" s="1646"/>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25">
      <c r="A93" s="74"/>
      <c r="B93" s="74"/>
      <c r="C93" s="74"/>
      <c r="D93" s="1394" t="s">
        <v>1360</v>
      </c>
      <c r="E93" s="1389" t="s">
        <v>1184</v>
      </c>
      <c r="F93" s="1421">
        <f>IF(списки!C53=0,"",'Экономический расчет'!E19)</f>
        <v>572.60826860253337</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25">
      <c r="A94" s="74"/>
      <c r="B94" s="74"/>
      <c r="C94" s="74"/>
      <c r="D94" s="1395" t="s">
        <v>1361</v>
      </c>
      <c r="E94" s="1396" t="s">
        <v>842</v>
      </c>
      <c r="F94" s="1422">
        <f>IF(списки!C53=0,"",'Экономический расчет'!E22)</f>
        <v>-1330.9040820009686</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1330.90408200095</v>
      </c>
      <c r="G95" s="1676" t="s">
        <v>1363</v>
      </c>
      <c r="H95" s="1677"/>
      <c r="I95" s="1677"/>
      <c r="J95" s="1678"/>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25">
      <c r="A96" s="74"/>
      <c r="B96" s="74"/>
      <c r="C96" s="74"/>
      <c r="D96" s="1397" t="s">
        <v>1364</v>
      </c>
      <c r="E96" s="1396" t="s">
        <v>842</v>
      </c>
      <c r="F96" s="1422">
        <f>IF(списки!C53=0,"",'Расчет после реализации'!D7)</f>
        <v>664612.51230274513</v>
      </c>
      <c r="G96" s="1673"/>
      <c r="H96" s="1674"/>
      <c r="I96" s="1674"/>
      <c r="J96" s="1675"/>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397" t="s">
        <v>1365</v>
      </c>
      <c r="E97" s="1396" t="s">
        <v>1366</v>
      </c>
      <c r="F97" s="1424">
        <f>IF(списки!C53=0,"",F96/('Ввод исходных данных'!G45+'Ввод исходных данных'!$G$23))</f>
        <v>52.621734940834926</v>
      </c>
      <c r="G97" s="1673"/>
      <c r="H97" s="1674"/>
      <c r="I97" s="1674"/>
      <c r="J97" s="1675"/>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41CpwP3owUB5hPqtbMhISf7f0adZnH/zPOC7LFwDrs+MQhUCkm4wd3wPpB5OLKv1U/cdsp1uFfF3liXdnrMNqg==" saltValue="vzOhOJPkX2yUKvasPv5IaQ=="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6" priority="125">
      <formula>$AA$24=0</formula>
    </cfRule>
  </conditionalFormatting>
  <conditionalFormatting sqref="D14:D15">
    <cfRule type="expression" dxfId="105" priority="126">
      <formula>$AA$14=0</formula>
    </cfRule>
  </conditionalFormatting>
  <conditionalFormatting sqref="D12">
    <cfRule type="expression" dxfId="104" priority="127">
      <formula>$AA$12=0</formula>
    </cfRule>
  </conditionalFormatting>
  <conditionalFormatting sqref="D9:D11 D20:D22 D27:D29 D62:D64 D67:D69 D35 D73">
    <cfRule type="expression" dxfId="103" priority="128">
      <formula>$AA9=0</formula>
    </cfRule>
  </conditionalFormatting>
  <conditionalFormatting sqref="D39 D41">
    <cfRule type="expression" dxfId="102" priority="131">
      <formula>$AA$39=0</formula>
    </cfRule>
  </conditionalFormatting>
  <conditionalFormatting sqref="D74:D75">
    <cfRule type="expression" dxfId="101" priority="132">
      <formula>$AA$74=0</formula>
    </cfRule>
  </conditionalFormatting>
  <conditionalFormatting sqref="D76">
    <cfRule type="expression" dxfId="100" priority="133">
      <formula>$AA$76=0</formula>
    </cfRule>
  </conditionalFormatting>
  <conditionalFormatting sqref="D36">
    <cfRule type="expression" dxfId="99" priority="149">
      <formula>$AA$37=0</formula>
    </cfRule>
  </conditionalFormatting>
  <conditionalFormatting sqref="D42">
    <cfRule type="expression" dxfId="98" priority="150">
      <formula>$AA$42=0</formula>
    </cfRule>
  </conditionalFormatting>
  <conditionalFormatting sqref="D55">
    <cfRule type="expression" dxfId="97" priority="151">
      <formula>$AA$55=0</formula>
    </cfRule>
  </conditionalFormatting>
  <conditionalFormatting sqref="A2">
    <cfRule type="expression" dxfId="96" priority="152">
      <formula>$AD$6&gt;=1</formula>
    </cfRule>
  </conditionalFormatting>
  <conditionalFormatting sqref="D56">
    <cfRule type="expression" dxfId="95" priority="153">
      <formula>$AA$56=0</formula>
    </cfRule>
  </conditionalFormatting>
  <conditionalFormatting sqref="D43">
    <cfRule type="expression" dxfId="94" priority="154">
      <formula>$AA$43=0</formula>
    </cfRule>
  </conditionalFormatting>
  <conditionalFormatting sqref="D44">
    <cfRule type="expression" dxfId="93" priority="155">
      <formula>$AA$44=0</formula>
    </cfRule>
  </conditionalFormatting>
  <conditionalFormatting sqref="D45">
    <cfRule type="expression" dxfId="92" priority="156">
      <formula>$AA$45=0</formula>
    </cfRule>
  </conditionalFormatting>
  <conditionalFormatting sqref="D48">
    <cfRule type="expression" dxfId="91" priority="157">
      <formula>$AA$48=0</formula>
    </cfRule>
  </conditionalFormatting>
  <conditionalFormatting sqref="D49">
    <cfRule type="expression" dxfId="90" priority="158">
      <formula>$AA$49=0</formula>
    </cfRule>
  </conditionalFormatting>
  <conditionalFormatting sqref="D50">
    <cfRule type="expression" dxfId="89" priority="159">
      <formula>$AA$50=0</formula>
    </cfRule>
  </conditionalFormatting>
  <conditionalFormatting sqref="D34">
    <cfRule type="expression" dxfId="88" priority="160">
      <formula>$AA$34=0</formula>
    </cfRule>
  </conditionalFormatting>
  <conditionalFormatting sqref="I9 K9 G9 F9">
    <cfRule type="expression" dxfId="87" priority="161">
      <formula>$AB$9=1</formula>
    </cfRule>
  </conditionalFormatting>
  <conditionalFormatting sqref="G12 I12 K12 F12">
    <cfRule type="expression" dxfId="86" priority="164">
      <formula>$AB$12=1</formula>
    </cfRule>
  </conditionalFormatting>
  <conditionalFormatting sqref="G15 I15 K15 F15">
    <cfRule type="expression" dxfId="85" priority="167">
      <formula>$AB$15=1</formula>
    </cfRule>
  </conditionalFormatting>
  <conditionalFormatting sqref="G20 I20 K20 F20">
    <cfRule type="expression" dxfId="84" priority="170">
      <formula>$AB$20=1</formula>
    </cfRule>
  </conditionalFormatting>
  <conditionalFormatting sqref="I24:K24">
    <cfRule type="expression" dxfId="83" priority="173">
      <formula>$AB$24=1</formula>
    </cfRule>
  </conditionalFormatting>
  <conditionalFormatting sqref="G27 I27 K27 F27">
    <cfRule type="expression" dxfId="82" priority="174">
      <formula>$AB$27=1</formula>
    </cfRule>
  </conditionalFormatting>
  <conditionalFormatting sqref="K62 I62 G62 F62">
    <cfRule type="expression" dxfId="81" priority="177">
      <formula>$AB$62=1</formula>
    </cfRule>
  </conditionalFormatting>
  <conditionalFormatting sqref="G67 I67 F67">
    <cfRule type="expression" dxfId="80" priority="180">
      <formula>$AB$67=1</formula>
    </cfRule>
  </conditionalFormatting>
  <conditionalFormatting sqref="I32 K32 F32:G32">
    <cfRule type="expression" dxfId="79" priority="183">
      <formula>$AB$32=1</formula>
    </cfRule>
  </conditionalFormatting>
  <conditionalFormatting sqref="I34:K34 F34:G34">
    <cfRule type="expression" dxfId="78" priority="189">
      <formula>$AB$34=1</formula>
    </cfRule>
  </conditionalFormatting>
  <conditionalFormatting sqref="I35:K35 F35 G35">
    <cfRule type="expression" dxfId="77" priority="190">
      <formula>$AB$35=1</formula>
    </cfRule>
  </conditionalFormatting>
  <conditionalFormatting sqref="F37:G37 I37 K37">
    <cfRule type="expression" dxfId="76" priority="191">
      <formula>$AB$37=1</formula>
    </cfRule>
  </conditionalFormatting>
  <conditionalFormatting sqref="F38:G38">
    <cfRule type="expression" dxfId="75" priority="194">
      <formula>$AB$38=1</formula>
    </cfRule>
  </conditionalFormatting>
  <conditionalFormatting sqref="I39:K39 F39:G39">
    <cfRule type="expression" dxfId="74" priority="197">
      <formula>$AB$39=1</formula>
    </cfRule>
  </conditionalFormatting>
  <conditionalFormatting sqref="F55:G55 I55:K55">
    <cfRule type="expression" dxfId="73" priority="198">
      <formula>$AB$55=1</formula>
    </cfRule>
  </conditionalFormatting>
  <conditionalFormatting sqref="F56:G57 I56:K56">
    <cfRule type="expression" dxfId="72" priority="199">
      <formula>$AB$56=1</formula>
    </cfRule>
  </conditionalFormatting>
  <conditionalFormatting sqref="I58:K58">
    <cfRule type="expression" dxfId="71" priority="200">
      <formula>$AB$58=1</formula>
    </cfRule>
  </conditionalFormatting>
  <conditionalFormatting sqref="G73 I73 K73 F73">
    <cfRule type="expression" dxfId="70" priority="201">
      <formula>$AB$73=1</formula>
    </cfRule>
  </conditionalFormatting>
  <conditionalFormatting sqref="I74:I75 K74:K75">
    <cfRule type="expression" dxfId="69" priority="204">
      <formula>$AB$74=1</formula>
    </cfRule>
  </conditionalFormatting>
  <conditionalFormatting sqref="F74:G75">
    <cfRule type="expression" dxfId="68" priority="207">
      <formula>$AB$74=1</formula>
    </cfRule>
  </conditionalFormatting>
  <conditionalFormatting sqref="I76 K76">
    <cfRule type="expression" dxfId="67" priority="210">
      <formula>$AB$76=1</formula>
    </cfRule>
  </conditionalFormatting>
  <conditionalFormatting sqref="F52:G52 I52:K52">
    <cfRule type="expression" dxfId="66" priority="211">
      <formula>$AB$52=1</formula>
    </cfRule>
  </conditionalFormatting>
  <conditionalFormatting sqref="I48:K48 F48:G48">
    <cfRule type="expression" dxfId="65" priority="212">
      <formula>$AB$48=1</formula>
    </cfRule>
  </conditionalFormatting>
  <conditionalFormatting sqref="F50:G50 I50:K50">
    <cfRule type="expression" dxfId="64" priority="213">
      <formula>$AB50=1</formula>
    </cfRule>
  </conditionalFormatting>
  <conditionalFormatting sqref="G76">
    <cfRule type="expression" dxfId="63" priority="18">
      <formula>$AB$76=1</formula>
    </cfRule>
  </conditionalFormatting>
  <conditionalFormatting sqref="F67 K67">
    <cfRule type="expression" dxfId="62" priority="17">
      <formula>$AB$67=1</formula>
    </cfRule>
  </conditionalFormatting>
  <conditionalFormatting sqref="K38">
    <cfRule type="expression" dxfId="61" priority="16">
      <formula>$AB$38=1</formula>
    </cfRule>
  </conditionalFormatting>
  <conditionalFormatting sqref="I38">
    <cfRule type="expression" dxfId="60" priority="15">
      <formula>$AB$38=1</formula>
    </cfRule>
  </conditionalFormatting>
  <conditionalFormatting sqref="D41">
    <cfRule type="expression" dxfId="59" priority="9">
      <formula>$AB$39=0</formula>
    </cfRule>
    <cfRule type="expression" dxfId="58" priority="14">
      <formula>$AB$39=1</formula>
    </cfRule>
  </conditionalFormatting>
  <conditionalFormatting sqref="D40">
    <cfRule type="expression" dxfId="57" priority="10">
      <formula>$AB$39=0</formula>
    </cfRule>
    <cfRule type="expression" dxfId="56" priority="12">
      <formula>$AA$39=0</formula>
    </cfRule>
  </conditionalFormatting>
  <conditionalFormatting sqref="D33">
    <cfRule type="expression" dxfId="55" priority="8">
      <formula>$AB$32=0</formula>
    </cfRule>
  </conditionalFormatting>
  <conditionalFormatting sqref="D38">
    <cfRule type="expression" dxfId="54" priority="7">
      <formula>$AA$37=0</formula>
    </cfRule>
  </conditionalFormatting>
  <conditionalFormatting sqref="D52">
    <cfRule type="expression" dxfId="53" priority="6">
      <formula>$AA$52=0</formula>
    </cfRule>
  </conditionalFormatting>
  <conditionalFormatting sqref="F76">
    <cfRule type="expression" dxfId="52" priority="5">
      <formula>$AB$76=1</formula>
    </cfRule>
  </conditionalFormatting>
  <conditionalFormatting sqref="F49:G49 I49:K49">
    <cfRule type="expression" dxfId="51" priority="4">
      <formula>$AB$49=1</formula>
    </cfRule>
  </conditionalFormatting>
  <conditionalFormatting sqref="F45:G45 I45:K45">
    <cfRule type="expression" dxfId="50" priority="3">
      <formula>$AB$45=1</formula>
    </cfRule>
  </conditionalFormatting>
  <conditionalFormatting sqref="F44:G44 I44:K44">
    <cfRule type="expression" dxfId="49" priority="2">
      <formula>$AB$44=1</formula>
    </cfRule>
  </conditionalFormatting>
  <conditionalFormatting sqref="F43:G43 I43:K43">
    <cfRule type="expression" dxfId="48"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14" activePane="bottomLeft" state="frozen"/>
      <selection pane="bottomLeft" activeCell="C21" sqref="C21"/>
    </sheetView>
  </sheetViews>
  <sheetFormatPr defaultColWidth="9.140625" defaultRowHeight="12.75" x14ac:dyDescent="0.2"/>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696" t="s">
        <v>1661</v>
      </c>
      <c r="C1" s="1696"/>
      <c r="D1" s="1696"/>
      <c r="E1" s="1697" t="s">
        <v>1654</v>
      </c>
      <c r="F1" s="1697"/>
      <c r="G1" s="1697"/>
      <c r="H1" s="42"/>
      <c r="I1" s="42"/>
    </row>
    <row r="2" spans="1:44" x14ac:dyDescent="0.2">
      <c r="A2" s="288"/>
      <c r="B2" s="288"/>
      <c r="C2" s="1692" t="s">
        <v>1419</v>
      </c>
      <c r="D2" s="1693"/>
      <c r="E2" s="1694"/>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1501</v>
      </c>
      <c r="C5" s="169" t="s">
        <v>1309</v>
      </c>
      <c r="D5" s="1400">
        <f>'Список мероприятий'!F86</f>
        <v>5920000</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1502</v>
      </c>
      <c r="C6" s="169" t="s">
        <v>1309</v>
      </c>
      <c r="D6" s="1401">
        <v>5140000</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1755</v>
      </c>
      <c r="C8" s="169" t="s">
        <v>1756</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1757</v>
      </c>
      <c r="C9" s="169" t="s">
        <v>1181</v>
      </c>
      <c r="D9" s="140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5.5" x14ac:dyDescent="0.2">
      <c r="A10" s="289"/>
      <c r="B10" s="292" t="s">
        <v>1321</v>
      </c>
      <c r="C10" s="169" t="s">
        <v>1309</v>
      </c>
      <c r="D10" s="1400">
        <f>IFERROR(E23*D13,"")</f>
        <v>3220.7878784422987</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x14ac:dyDescent="0.2">
      <c r="A11" s="289"/>
      <c r="B11" s="1698" t="s">
        <v>1326</v>
      </c>
      <c r="C11" s="1699"/>
      <c r="D11" s="1700"/>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293" t="s">
        <v>1313</v>
      </c>
      <c r="C12" s="1402" t="s">
        <v>1314</v>
      </c>
      <c r="D12" s="1400">
        <f>'Ввод исходных данных'!C270</f>
        <v>1635.75</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1315</v>
      </c>
      <c r="C13" s="1402" t="s">
        <v>1316</v>
      </c>
      <c r="D13" s="1400">
        <f>'Ввод исходных данных'!D270</f>
        <v>2.42</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x14ac:dyDescent="0.2">
      <c r="A15" s="289"/>
      <c r="B15" s="1702" t="s">
        <v>1443</v>
      </c>
      <c r="C15" s="1703"/>
      <c r="D15" s="1703"/>
      <c r="E15" s="1703"/>
      <c r="F15" s="1703"/>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x14ac:dyDescent="0.2">
      <c r="A16" s="289"/>
      <c r="B16" s="293"/>
      <c r="C16" s="1691" t="s">
        <v>1309</v>
      </c>
      <c r="D16" s="1691"/>
      <c r="E16" s="1691"/>
      <c r="F16" s="1691"/>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x14ac:dyDescent="0.2">
      <c r="A17" s="289"/>
      <c r="B17" s="293"/>
      <c r="C17" s="1510" t="s">
        <v>1322</v>
      </c>
      <c r="D17" s="1511" t="s">
        <v>1327</v>
      </c>
      <c r="E17" s="1512" t="s">
        <v>1924</v>
      </c>
      <c r="F17" s="1701"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x14ac:dyDescent="0.2">
      <c r="A18" s="289"/>
      <c r="B18" s="293" t="s">
        <v>1323</v>
      </c>
      <c r="C18" s="1400">
        <f>C19+C22</f>
        <v>5431525.5016999999</v>
      </c>
      <c r="D18" s="1400">
        <f>D19+D22</f>
        <v>4498102.3142118491</v>
      </c>
      <c r="E18" s="1405"/>
      <c r="F18" s="1701"/>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1403" t="s">
        <v>1420</v>
      </c>
      <c r="C19" s="1400">
        <f>C20+C21</f>
        <v>5169320.0504999999</v>
      </c>
      <c r="D19" s="1400">
        <f>D20+D21</f>
        <v>4232676.0751334066</v>
      </c>
      <c r="E19" s="1405">
        <f>IF(списки!C53=0,0,E20+E21)</f>
        <v>572.60826860253337</v>
      </c>
      <c r="F19" s="1701"/>
      <c r="G19" s="294"/>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04" t="s">
        <v>1324</v>
      </c>
      <c r="C20" s="1400">
        <f>'Расчет базового уровня'!D13*'Экономический расчет'!$D$12</f>
        <v>3465781.2990000001</v>
      </c>
      <c r="D20" s="1400">
        <f>IF(списки!C53=0,0,'Расчет после реализации'!D12/1163*'Экономический расчет'!$D$12)</f>
        <v>2529137.3236334063</v>
      </c>
      <c r="E20" s="1405">
        <f>IF(списки!C53=0,0,'Расчет после реализации'!D13/1163)</f>
        <v>572.60826860253337</v>
      </c>
      <c r="F20" s="1701"/>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04" t="s">
        <v>1325</v>
      </c>
      <c r="C21" s="1400">
        <f>'Расчет базового уровня'!D16*'Экономический расчет'!$D$12</f>
        <v>1703538.7515</v>
      </c>
      <c r="D21" s="1400">
        <f>IF(списки!C53=0,0,'Расчет после реализации'!D15/1163*'Экономический расчет'!$D$12)</f>
        <v>1703538.7515</v>
      </c>
      <c r="E21" s="1405">
        <f>IF(списки!C53=0,0,'Расчет после реализации'!D86/1163)</f>
        <v>0</v>
      </c>
      <c r="F21" s="1701"/>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03" t="s">
        <v>1421</v>
      </c>
      <c r="C22" s="1400">
        <f>'Расчет базового уровня'!D18*'Экономический расчет'!$D$13</f>
        <v>262205.45119999995</v>
      </c>
      <c r="D22" s="1400">
        <f>IF(списки!C53=0,0,'Расчет после реализации'!D18*'Экономический расчет'!$D$13)</f>
        <v>265426.23907844228</v>
      </c>
      <c r="E22" s="1405">
        <f>IF(списки!C53=0,0,'Расчет после реализации'!C100-'Расчет после реализации'!D100)</f>
        <v>-1330.9040820009686</v>
      </c>
      <c r="F22" s="1701"/>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x14ac:dyDescent="0.2">
      <c r="A23" s="289"/>
      <c r="B23" s="1695" t="s">
        <v>1448</v>
      </c>
      <c r="C23" s="1695"/>
      <c r="D23" s="1695"/>
      <c r="E23" s="1406">
        <f>IF(списки!C53=0,"",IF('Расчет после реализации'!D106&gt;'Расчет после реализации'!C106,'Расчет после реализации'!D106-'Расчет после реализации'!C106,0))</f>
        <v>1330.90408200095</v>
      </c>
      <c r="F23" s="1701"/>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x14ac:dyDescent="0.2">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94"/>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x14ac:dyDescent="0.2">
      <c r="A26" s="289"/>
      <c r="B26" s="1493" t="s">
        <v>1905</v>
      </c>
      <c r="C26" s="1400">
        <f>'Ввод исходных данных'!G44</f>
        <v>14594</v>
      </c>
      <c r="D26" s="1687"/>
      <c r="E26" s="1687"/>
      <c r="F26" s="1687"/>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493" t="s">
        <v>1864</v>
      </c>
      <c r="C27" s="1400">
        <f>'Ввод исходных данных'!G45+'Ввод исходных данных'!D23</f>
        <v>12630</v>
      </c>
      <c r="D27" s="1687"/>
      <c r="E27" s="1687"/>
      <c r="F27" s="1687"/>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493" t="s">
        <v>1406</v>
      </c>
      <c r="C28" s="1400">
        <f>'Список мероприятий'!F86</f>
        <v>5920000</v>
      </c>
      <c r="D28" s="1687"/>
      <c r="E28" s="1687"/>
      <c r="F28" s="1687"/>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493" t="s">
        <v>1906</v>
      </c>
      <c r="C29" s="1400">
        <f>IFERROR(C28/C26,"")</f>
        <v>405.64615595450186</v>
      </c>
      <c r="D29" s="1687" t="s">
        <v>1595</v>
      </c>
      <c r="E29" s="1687"/>
      <c r="F29" s="1687"/>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493" t="s">
        <v>1906</v>
      </c>
      <c r="C30" s="1400">
        <f>IFERROR(C28/C27,"")</f>
        <v>468.72525732383212</v>
      </c>
      <c r="D30" s="1687" t="s">
        <v>1636</v>
      </c>
      <c r="E30" s="1687"/>
      <c r="F30" s="1687"/>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493" t="s">
        <v>1408</v>
      </c>
      <c r="C31" s="1400"/>
      <c r="D31" s="1687"/>
      <c r="E31" s="1687"/>
      <c r="F31" s="1687"/>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x14ac:dyDescent="0.2">
      <c r="A32" s="289"/>
      <c r="B32" s="1494" t="s">
        <v>1416</v>
      </c>
      <c r="C32" s="1400">
        <f>IF(OR(D6=0,списки!C51=1),"",MIN(5000000,D6/2,IF(AND(C35&gt;=0.1,C35&lt;=0.3),(C35*10+1)*C34,IF(C35&gt;0.3,4*C34,0))))</f>
        <v>2537537.6239716755</v>
      </c>
      <c r="D32" s="1688" t="str">
        <f>E6</f>
        <v/>
      </c>
      <c r="E32" s="1688"/>
      <c r="F32" s="1688"/>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x14ac:dyDescent="0.2">
      <c r="A33" s="289"/>
      <c r="B33" s="1494" t="s">
        <v>1417</v>
      </c>
      <c r="C33" s="1400">
        <f>IFERROR(MIN(5*10^6-C32,D6/2-C32,IF(списки!C51=1,0,ABS(D7+PMT(MIN(D9,0.0925)/12,MIN(D8,60),D7)*MIN(D8,60)))),0)</f>
        <v>0</v>
      </c>
      <c r="D33" s="1689" t="str">
        <f>IF(IFERROR(C33,0)&gt;0,"Внимание: ориентировочная сумма!","")</f>
        <v/>
      </c>
      <c r="E33" s="1689"/>
      <c r="F33" s="16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x14ac:dyDescent="0.2">
      <c r="A34" s="289"/>
      <c r="B34" s="1493" t="s">
        <v>1610</v>
      </c>
      <c r="C34" s="1400">
        <f>IF(списки!C49=1,0,C35*(C18))</f>
        <v>933423.18748815055</v>
      </c>
      <c r="D34" s="1687"/>
      <c r="E34" s="1687"/>
      <c r="F34" s="1687"/>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493" t="s">
        <v>1409</v>
      </c>
      <c r="C35" s="296">
        <f>IF(списки!C53=0,"",1-D18/C18)</f>
        <v>0.17185285923742799</v>
      </c>
      <c r="D35" s="1690"/>
      <c r="E35" s="1690"/>
      <c r="F35" s="1690"/>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493" t="s">
        <v>1407</v>
      </c>
      <c r="C36" s="295">
        <f>IF(списки!C51=1,"",D5/C34)</f>
        <v>6.3422465601382463</v>
      </c>
      <c r="D36" s="1687"/>
      <c r="E36" s="1687"/>
      <c r="F36" s="1687"/>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x14ac:dyDescent="0.2">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1270"/>
      <c r="C40" s="1270"/>
      <c r="D40" s="1270"/>
      <c r="E40" s="1270" t="s">
        <v>1754</v>
      </c>
      <c r="F40" s="1270"/>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0">
        <v>1</v>
      </c>
      <c r="C41" s="1271">
        <f>'Список мероприятий'!W9</f>
        <v>0</v>
      </c>
      <c r="D41" s="1270" t="str">
        <f>IF(E41=0,"","Повыш-е теплозащ. наружных стен")</f>
        <v/>
      </c>
      <c r="E41" s="1272">
        <f t="shared" ref="E41:E63" si="0">F41/SUM($F$41:$F$63)</f>
        <v>0</v>
      </c>
      <c r="F41" s="1270">
        <f t="shared" ref="F41:F63" si="1">$C41*$C$19</f>
        <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0">
        <v>2</v>
      </c>
      <c r="C42" s="1271">
        <f>'Список мероприятий'!W12</f>
        <v>4.6069194422639473E-2</v>
      </c>
      <c r="D42" s="1270" t="str">
        <f>IF(E42=0,"","Заделка и герметизация межпанельных соединений")</f>
        <v>Заделка и герметизация межпанельных соединений</v>
      </c>
      <c r="E42" s="1272">
        <f t="shared" si="0"/>
        <v>0.26566155542671649</v>
      </c>
      <c r="F42" s="1270">
        <f t="shared" si="1"/>
        <v>238146.41043933301</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0">
        <v>3</v>
      </c>
      <c r="C43" s="1271">
        <f>'Список мероприятий'!W14</f>
        <v>0</v>
      </c>
      <c r="D43" s="1270" t="str">
        <f>IF(E43=0,"","Замена окон МОП")</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0">
        <v>4</v>
      </c>
      <c r="C44" s="1271">
        <f>'Список мероприятий'!W20</f>
        <v>0</v>
      </c>
      <c r="D44" s="1270" t="str">
        <f>IF(E44=0,"","Повыш-е теплозащ. совмещенной кровли")</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0">
        <v>5</v>
      </c>
      <c r="C45" s="1271">
        <f>'Список мероприятий'!W24</f>
        <v>0</v>
      </c>
      <c r="D45" s="1270" t="str">
        <f>IF(E45=0,"","Устройство теплого чердака")</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0">
        <v>6</v>
      </c>
      <c r="C46" s="1271">
        <f>'Список мероприятий'!W27</f>
        <v>0</v>
      </c>
      <c r="D46" s="1270" t="str">
        <f>IF(E46=0,"","Повыш-е теплозащ. чердачных перекрытий")</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0">
        <v>7</v>
      </c>
      <c r="C47" s="1271">
        <f>'Список мероприятий'!W32</f>
        <v>8.4131582887335701E-2</v>
      </c>
      <c r="D47" s="1270" t="str">
        <f>IF(E47=0,"","Установка узлов управления")</f>
        <v>Установка узлов управления</v>
      </c>
      <c r="E47" s="1272">
        <f t="shared" si="0"/>
        <v>0.4851512480404423</v>
      </c>
      <c r="F47" s="1517">
        <f t="shared" si="1"/>
        <v>434903.07829980709</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0">
        <v>8</v>
      </c>
      <c r="C48" s="1271">
        <f>'Список мероприятий'!W34</f>
        <v>0</v>
      </c>
      <c r="D48" s="1270" t="str">
        <f>IF(E48=0,"","Модернизация ИТП")</f>
        <v/>
      </c>
      <c r="E48" s="1272">
        <f t="shared" si="0"/>
        <v>0</v>
      </c>
      <c r="F48" s="1517">
        <f t="shared" si="1"/>
        <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0">
        <v>9</v>
      </c>
      <c r="C49" s="1271">
        <f>'Список мероприятий'!W35</f>
        <v>0</v>
      </c>
      <c r="D49" s="1270" t="str">
        <f>IF(E49=0,"","Установка регуляторов температуры ГВС")</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0">
        <v>10</v>
      </c>
      <c r="C50" s="1271">
        <f>'Список мероприятий'!W37</f>
        <v>4.3212324742526342E-2</v>
      </c>
      <c r="D50" s="1270" t="str">
        <f>IF(E50=0,"","Ремонт трубопровода СО")</f>
        <v>Ремонт трубопровода СО</v>
      </c>
      <c r="E50" s="1272">
        <f t="shared" si="0"/>
        <v>0.24918719653284119</v>
      </c>
      <c r="F50" s="1517">
        <f t="shared" si="1"/>
        <v>223378.33672025867</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0">
        <v>11</v>
      </c>
      <c r="C51" s="1271">
        <f>'Список мероприятий'!W38</f>
        <v>0</v>
      </c>
      <c r="D51" s="1270" t="str">
        <f>IF(E51=0,"","Ремонт трубопровода ГВС")</f>
        <v/>
      </c>
      <c r="E51" s="1272">
        <f t="shared" si="0"/>
        <v>0</v>
      </c>
      <c r="F51" s="1270">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0">
        <v>12</v>
      </c>
      <c r="C52" s="1271">
        <f>'Список мероприятий'!W39</f>
        <v>0</v>
      </c>
      <c r="D52" s="1270" t="str">
        <f>IF(E52=0,"","Устройство циркуляции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0">
        <v>13</v>
      </c>
      <c r="C53" s="1271">
        <f>'Список мероприятий'!Y42</f>
        <v>0</v>
      </c>
      <c r="D53" s="1270" t="str">
        <f>IF(E53=0,"","Установка ЧРП на насосное оборудование")</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0">
        <v>14</v>
      </c>
      <c r="C54" s="1271">
        <f>'Список мероприятий'!Y47</f>
        <v>0</v>
      </c>
      <c r="D54" s="1270" t="str">
        <f>IF(E54=0,"","Замена насосного оборудования")</f>
        <v/>
      </c>
      <c r="E54" s="1272">
        <f t="shared" si="0"/>
        <v>0</v>
      </c>
      <c r="F54" s="1270">
        <f t="shared" si="1"/>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0">
        <v>15</v>
      </c>
      <c r="C55" s="1271">
        <f>'Список мероприятий'!Y52</f>
        <v>0</v>
      </c>
      <c r="D55" s="1270" t="str">
        <f>IF(E55=0,"","Установка УКРМ на насосное оборудование")</f>
        <v/>
      </c>
      <c r="E55" s="1272">
        <f t="shared" si="0"/>
        <v>0</v>
      </c>
      <c r="F55" s="1270">
        <f t="shared" si="1"/>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0">
        <v>16</v>
      </c>
      <c r="C56" s="1271">
        <f>'Список мероприятий'!Y55</f>
        <v>0</v>
      </c>
      <c r="D56" s="1270" t="str">
        <f>IF(E56=0,"","Ремонт лифта")</f>
        <v/>
      </c>
      <c r="E56" s="1272">
        <f t="shared" si="0"/>
        <v>0</v>
      </c>
      <c r="F56" s="1270">
        <f t="shared" si="1"/>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0">
        <v>17</v>
      </c>
      <c r="C57" s="1271">
        <f>'Список мероприятий'!Y56</f>
        <v>0</v>
      </c>
      <c r="D57" s="1270" t="str">
        <f>IF(E57=0,"","Замена лифта")</f>
        <v/>
      </c>
      <c r="E57" s="1272">
        <f t="shared" si="0"/>
        <v>0</v>
      </c>
      <c r="F57" s="1270">
        <f t="shared" si="1"/>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0">
        <v>18</v>
      </c>
      <c r="C58" s="1271">
        <f>'Список мероприятий'!Y58</f>
        <v>0</v>
      </c>
      <c r="D58" s="1270" t="str">
        <f>IF(E58=0,"","Установка УКРМ на лифт")</f>
        <v/>
      </c>
      <c r="E58" s="1272">
        <f t="shared" si="0"/>
        <v>0</v>
      </c>
      <c r="F58" s="1270">
        <f t="shared" si="1"/>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0">
        <v>19</v>
      </c>
      <c r="C59" s="1271">
        <f>'Список мероприятий'!W62</f>
        <v>0</v>
      </c>
      <c r="D59" s="1270" t="str">
        <f>IF(E59=0,"","Повыш-е теплозащ. пола по грунту")</f>
        <v/>
      </c>
      <c r="E59" s="1272">
        <f t="shared" si="0"/>
        <v>0</v>
      </c>
      <c r="F59" s="1270">
        <f t="shared" si="1"/>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0">
        <v>20</v>
      </c>
      <c r="C60" s="1271">
        <f>'Список мероприятий'!W67</f>
        <v>0</v>
      </c>
      <c r="D60" s="1270" t="str">
        <f>IF(E60=0,"","Повыш-е теплозащ. перекрытий над подвалом")</f>
        <v/>
      </c>
      <c r="E60" s="1272">
        <f t="shared" si="0"/>
        <v>0</v>
      </c>
      <c r="F60" s="1270">
        <f t="shared" si="1"/>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0">
        <v>21</v>
      </c>
      <c r="C61" s="1271">
        <f>'Список мероприятий'!W73</f>
        <v>0</v>
      </c>
      <c r="D61" s="1270" t="str">
        <f>IF(E61=0,"","Утепление наружных дверей")</f>
        <v/>
      </c>
      <c r="E61" s="1272">
        <f t="shared" si="0"/>
        <v>0</v>
      </c>
      <c r="F61" s="1270">
        <f t="shared" si="1"/>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0">
        <v>22</v>
      </c>
      <c r="C62" s="1271">
        <f>'Список мероприятий'!Y74</f>
        <v>0</v>
      </c>
      <c r="D62" s="1270" t="str">
        <f>IF(E62=0,"","Замена осветительных приборов")</f>
        <v/>
      </c>
      <c r="E62" s="1272">
        <f t="shared" si="0"/>
        <v>0</v>
      </c>
      <c r="F62" s="1270">
        <f t="shared" si="1"/>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0">
        <v>23</v>
      </c>
      <c r="C63" s="1271">
        <f>'Список мероприятий'!Y76</f>
        <v>0</v>
      </c>
      <c r="D63" s="1270" t="str">
        <f>IF(E63=0,"","Установка датчиков движения")</f>
        <v/>
      </c>
      <c r="E63" s="1272">
        <f t="shared" si="0"/>
        <v>0</v>
      </c>
      <c r="F63" s="1270">
        <f t="shared" si="1"/>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password="ECB1"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81" t="s">
        <v>1661</v>
      </c>
      <c r="C1" s="1681"/>
      <c r="D1" s="1681"/>
      <c r="E1" s="1420" t="s">
        <v>1654</v>
      </c>
      <c r="F1" s="41"/>
      <c r="G1" s="42"/>
      <c r="H1" s="42"/>
      <c r="I1" s="42"/>
    </row>
    <row r="2" spans="1:26" ht="53.25" customHeight="1" x14ac:dyDescent="0.2">
      <c r="A2" s="44"/>
      <c r="B2" s="1707" t="s">
        <v>1885</v>
      </c>
      <c r="C2" s="1707"/>
      <c r="D2" s="1707"/>
      <c r="E2" s="1707"/>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08" t="s">
        <v>1886</v>
      </c>
      <c r="C3" s="1708"/>
      <c r="D3" s="1708"/>
      <c r="E3" s="1708"/>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09" t="s">
        <v>1662</v>
      </c>
      <c r="C4" s="1710"/>
      <c r="D4" s="1710"/>
      <c r="E4" s="1711"/>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12" t="s">
        <v>1663</v>
      </c>
      <c r="C5" s="1713"/>
      <c r="D5" s="1714"/>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2">
      <c r="A6" s="44"/>
      <c r="B6" s="1704" t="s">
        <v>1666</v>
      </c>
      <c r="C6" s="1705"/>
      <c r="D6" s="1706"/>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2">
      <c r="A7" s="44"/>
      <c r="B7" s="1704" t="s">
        <v>1669</v>
      </c>
      <c r="C7" s="1705"/>
      <c r="D7" s="1706"/>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2">
      <c r="A8" s="44"/>
      <c r="B8" s="1704" t="s">
        <v>1672</v>
      </c>
      <c r="C8" s="1705"/>
      <c r="D8" s="1706"/>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2">
      <c r="A9" s="44"/>
      <c r="B9" s="1704" t="s">
        <v>1675</v>
      </c>
      <c r="C9" s="1705"/>
      <c r="D9" s="1706"/>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04" t="s">
        <v>1677</v>
      </c>
      <c r="C10" s="1705"/>
      <c r="D10" s="1706"/>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04" t="s">
        <v>1679</v>
      </c>
      <c r="C11" s="1705"/>
      <c r="D11" s="1706"/>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04" t="s">
        <v>1680</v>
      </c>
      <c r="C12" s="1705"/>
      <c r="D12" s="1706"/>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23"/>
      <c r="C13" s="1724"/>
      <c r="D13" s="1725"/>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09" t="s">
        <v>1887</v>
      </c>
      <c r="C14" s="1710"/>
      <c r="D14" s="1710"/>
      <c r="E14" s="1711"/>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1681</v>
      </c>
      <c r="C15" s="1726" t="s">
        <v>1888</v>
      </c>
      <c r="D15" s="1726"/>
      <c r="E15" s="1727"/>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1682</v>
      </c>
      <c r="C16" s="53"/>
      <c r="D16" s="1728" t="s">
        <v>1683</v>
      </c>
      <c r="E16" s="1729"/>
      <c r="F16" s="44"/>
      <c r="G16" s="44" t="s">
        <v>1742</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1684</v>
      </c>
      <c r="C17" s="55"/>
      <c r="D17" s="1719" t="s">
        <v>1685</v>
      </c>
      <c r="E17" s="1720"/>
      <c r="F17" s="44"/>
      <c r="G17" s="44" t="s">
        <v>1744</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1686</v>
      </c>
      <c r="C18" s="55"/>
      <c r="D18" s="1719" t="s">
        <v>1687</v>
      </c>
      <c r="E18" s="1720"/>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15" t="s">
        <v>1688</v>
      </c>
      <c r="C19" s="1717"/>
      <c r="D19" s="1719" t="s">
        <v>1689</v>
      </c>
      <c r="E19" s="1720"/>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16"/>
      <c r="C20" s="1718"/>
      <c r="D20" s="1721"/>
      <c r="E20" s="1722"/>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1690</v>
      </c>
      <c r="C21" s="1726" t="s">
        <v>1889</v>
      </c>
      <c r="D21" s="1726"/>
      <c r="E21" s="1727"/>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1682</v>
      </c>
      <c r="C22" s="53"/>
      <c r="D22" s="1728" t="s">
        <v>1691</v>
      </c>
      <c r="E22" s="1729"/>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1684</v>
      </c>
      <c r="C23" s="55"/>
      <c r="D23" s="1719" t="s">
        <v>1693</v>
      </c>
      <c r="E23" s="1720"/>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1686</v>
      </c>
      <c r="C24" s="55"/>
      <c r="D24" s="1719" t="s">
        <v>1694</v>
      </c>
      <c r="E24" s="1720"/>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1688</v>
      </c>
      <c r="C25" s="55"/>
      <c r="D25" s="1719" t="s">
        <v>1695</v>
      </c>
      <c r="E25" s="1720"/>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1696</v>
      </c>
      <c r="C26" s="55"/>
      <c r="D26" s="1719" t="s">
        <v>1697</v>
      </c>
      <c r="E26" s="1720"/>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1698</v>
      </c>
      <c r="C27" s="57"/>
      <c r="D27" s="1730" t="s">
        <v>1689</v>
      </c>
      <c r="E27" s="1731"/>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1699</v>
      </c>
      <c r="C28" s="1726" t="s">
        <v>1700</v>
      </c>
      <c r="D28" s="1726"/>
      <c r="E28" s="1727"/>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1682</v>
      </c>
      <c r="C29" s="53"/>
      <c r="D29" s="1728" t="s">
        <v>1701</v>
      </c>
      <c r="E29" s="1729"/>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1684</v>
      </c>
      <c r="C30" s="55"/>
      <c r="D30" s="1719" t="s">
        <v>1702</v>
      </c>
      <c r="E30" s="1720"/>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1686</v>
      </c>
      <c r="C31" s="55"/>
      <c r="D31" s="1719" t="s">
        <v>1703</v>
      </c>
      <c r="E31" s="1720"/>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1688</v>
      </c>
      <c r="C32" s="57"/>
      <c r="D32" s="1730" t="s">
        <v>1704</v>
      </c>
      <c r="E32" s="1731"/>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1705</v>
      </c>
      <c r="C33" s="1726" t="s">
        <v>1890</v>
      </c>
      <c r="D33" s="1726"/>
      <c r="E33" s="1727"/>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1682</v>
      </c>
      <c r="C34" s="53"/>
      <c r="D34" s="1728" t="s">
        <v>1897</v>
      </c>
      <c r="E34" s="1729"/>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1684</v>
      </c>
      <c r="C35" s="55"/>
      <c r="D35" s="1719" t="s">
        <v>1707</v>
      </c>
      <c r="E35" s="1720"/>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1686</v>
      </c>
      <c r="C36" s="55"/>
      <c r="D36" s="1719" t="s">
        <v>1708</v>
      </c>
      <c r="E36" s="1720"/>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1688</v>
      </c>
      <c r="C37" s="57"/>
      <c r="D37" s="1734" t="s">
        <v>1898</v>
      </c>
      <c r="E37" s="1735"/>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1710</v>
      </c>
      <c r="C38" s="1726" t="s">
        <v>1891</v>
      </c>
      <c r="D38" s="1726"/>
      <c r="E38" s="1727"/>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1682</v>
      </c>
      <c r="C39" s="53"/>
      <c r="D39" s="1736" t="s">
        <v>1711</v>
      </c>
      <c r="E39" s="1737"/>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38" t="s">
        <v>1684</v>
      </c>
      <c r="C40" s="1717"/>
      <c r="D40" s="1732" t="s">
        <v>1712</v>
      </c>
      <c r="E40" s="1733"/>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39"/>
      <c r="C41" s="1740"/>
      <c r="D41" s="1741"/>
      <c r="E41" s="1742"/>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1686</v>
      </c>
      <c r="C42" s="60"/>
      <c r="D42" s="1732" t="s">
        <v>1713</v>
      </c>
      <c r="E42" s="1733"/>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1688</v>
      </c>
      <c r="C43" s="55"/>
      <c r="D43" s="1732" t="s">
        <v>1714</v>
      </c>
      <c r="E43" s="1733"/>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15" t="s">
        <v>1696</v>
      </c>
      <c r="C44" s="1743"/>
      <c r="D44" s="1745" t="s">
        <v>1689</v>
      </c>
      <c r="E44" s="1746"/>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16"/>
      <c r="C45" s="1744"/>
      <c r="D45" s="1721"/>
      <c r="E45" s="1722"/>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1716</v>
      </c>
      <c r="C46" s="1726" t="s">
        <v>1892</v>
      </c>
      <c r="D46" s="1726"/>
      <c r="E46" s="1727"/>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1682</v>
      </c>
      <c r="C47" s="53"/>
      <c r="D47" s="1728" t="s">
        <v>1717</v>
      </c>
      <c r="E47" s="1729"/>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1684</v>
      </c>
      <c r="C48" s="60"/>
      <c r="D48" s="1719" t="s">
        <v>1718</v>
      </c>
      <c r="E48" s="1720"/>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1686</v>
      </c>
      <c r="C49" s="60"/>
      <c r="D49" s="1719" t="s">
        <v>1720</v>
      </c>
      <c r="E49" s="1720"/>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9" t="s">
        <v>1688</v>
      </c>
      <c r="C50" s="60"/>
      <c r="D50" s="1719" t="s">
        <v>1722</v>
      </c>
      <c r="E50" s="1720"/>
      <c r="F50" s="44"/>
      <c r="G50" s="44" t="s">
        <v>1719</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1696</v>
      </c>
      <c r="C51" s="55"/>
      <c r="D51" s="1719" t="s">
        <v>1723</v>
      </c>
      <c r="E51" s="1720"/>
      <c r="F51" s="44"/>
      <c r="G51" s="44" t="s">
        <v>1721</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54" t="s">
        <v>1698</v>
      </c>
      <c r="C52" s="55"/>
      <c r="D52" s="1719" t="s">
        <v>1724</v>
      </c>
      <c r="E52" s="1720"/>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x14ac:dyDescent="0.2">
      <c r="A53" s="44"/>
      <c r="B53" s="1738" t="s">
        <v>1725</v>
      </c>
      <c r="C53" s="1717"/>
      <c r="D53" s="1719" t="s">
        <v>1689</v>
      </c>
      <c r="E53" s="1720"/>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x14ac:dyDescent="0.2">
      <c r="A54" s="44"/>
      <c r="B54" s="1747"/>
      <c r="C54" s="1718"/>
      <c r="D54" s="1748"/>
      <c r="E54" s="1749"/>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x14ac:dyDescent="0.2">
      <c r="A55" s="44"/>
      <c r="B55" s="58" t="s">
        <v>1726</v>
      </c>
      <c r="C55" s="1726" t="s">
        <v>1727</v>
      </c>
      <c r="D55" s="1726"/>
      <c r="E55" s="1727"/>
      <c r="F55" s="44"/>
      <c r="G55" s="44" t="s">
        <v>68</v>
      </c>
      <c r="H55" s="44"/>
      <c r="I55" s="44"/>
      <c r="J55" s="44"/>
      <c r="K55" s="44"/>
      <c r="L55" s="44"/>
      <c r="M55" s="44"/>
      <c r="N55" s="44"/>
      <c r="O55" s="44"/>
      <c r="P55" s="44"/>
      <c r="Q55" s="44"/>
      <c r="R55" s="44"/>
      <c r="S55" s="44"/>
      <c r="T55" s="44"/>
      <c r="U55" s="44"/>
      <c r="V55" s="44"/>
      <c r="W55" s="44"/>
      <c r="X55" s="44"/>
      <c r="Y55" s="44"/>
      <c r="Z55" s="44"/>
    </row>
    <row r="56" spans="1:26" x14ac:dyDescent="0.2">
      <c r="A56" s="44"/>
      <c r="B56" s="52" t="s">
        <v>1682</v>
      </c>
      <c r="C56" s="53"/>
      <c r="D56" s="1728" t="s">
        <v>1728</v>
      </c>
      <c r="E56" s="1729"/>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x14ac:dyDescent="0.2">
      <c r="A57" s="44"/>
      <c r="B57" s="1715" t="s">
        <v>1684</v>
      </c>
      <c r="C57" s="1743"/>
      <c r="D57" s="1719" t="s">
        <v>1729</v>
      </c>
      <c r="E57" s="1720"/>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x14ac:dyDescent="0.2">
      <c r="A58" s="44"/>
      <c r="B58" s="1715"/>
      <c r="C58" s="1743"/>
      <c r="D58" s="1750"/>
      <c r="E58" s="1751"/>
      <c r="F58" s="44"/>
      <c r="G58" s="44" t="s">
        <v>145</v>
      </c>
      <c r="H58" s="44"/>
      <c r="I58" s="44"/>
      <c r="J58" s="44"/>
      <c r="K58" s="44"/>
      <c r="L58" s="44"/>
      <c r="M58" s="44"/>
      <c r="N58" s="44"/>
      <c r="O58" s="44"/>
      <c r="P58" s="44"/>
      <c r="Q58" s="44"/>
      <c r="R58" s="44"/>
      <c r="S58" s="44"/>
      <c r="T58" s="44"/>
      <c r="U58" s="44"/>
      <c r="V58" s="44"/>
      <c r="W58" s="44"/>
      <c r="X58" s="44"/>
      <c r="Y58" s="44"/>
      <c r="Z58" s="44"/>
    </row>
    <row r="59" spans="1:26" x14ac:dyDescent="0.2">
      <c r="A59" s="44"/>
      <c r="B59" s="54" t="s">
        <v>1686</v>
      </c>
      <c r="C59" s="55"/>
      <c r="D59" s="1719" t="s">
        <v>1730</v>
      </c>
      <c r="E59" s="1720"/>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x14ac:dyDescent="0.2">
      <c r="A60" s="44"/>
      <c r="B60" s="56" t="s">
        <v>1688</v>
      </c>
      <c r="C60" s="57"/>
      <c r="D60" s="1730" t="s">
        <v>1731</v>
      </c>
      <c r="E60" s="1731"/>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x14ac:dyDescent="0.2">
      <c r="A61" s="44"/>
      <c r="B61" s="58" t="s">
        <v>1732</v>
      </c>
      <c r="C61" s="1726" t="s">
        <v>1893</v>
      </c>
      <c r="D61" s="1726"/>
      <c r="E61" s="1727"/>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52" t="s">
        <v>1682</v>
      </c>
      <c r="C62" s="53"/>
      <c r="D62" s="1728" t="s">
        <v>1734</v>
      </c>
      <c r="E62" s="1729"/>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x14ac:dyDescent="0.2">
      <c r="A63" s="44"/>
      <c r="B63" s="1715" t="s">
        <v>1684</v>
      </c>
      <c r="C63" s="1743"/>
      <c r="D63" s="1719" t="s">
        <v>1736</v>
      </c>
      <c r="E63" s="1720"/>
      <c r="F63" s="44"/>
      <c r="G63" s="44" t="s">
        <v>1733</v>
      </c>
      <c r="H63" s="44"/>
      <c r="I63" s="44"/>
      <c r="J63" s="44"/>
      <c r="K63" s="44"/>
      <c r="L63" s="44"/>
      <c r="M63" s="44"/>
      <c r="N63" s="44"/>
      <c r="O63" s="44"/>
      <c r="P63" s="44"/>
      <c r="Q63" s="44"/>
      <c r="R63" s="44"/>
      <c r="S63" s="44"/>
      <c r="T63" s="44"/>
      <c r="U63" s="44"/>
      <c r="V63" s="44"/>
      <c r="W63" s="44"/>
      <c r="X63" s="44"/>
      <c r="Y63" s="44"/>
      <c r="Z63" s="44"/>
    </row>
    <row r="64" spans="1:26" ht="22.5" customHeight="1" x14ac:dyDescent="0.2">
      <c r="A64" s="44"/>
      <c r="B64" s="1715"/>
      <c r="C64" s="1743"/>
      <c r="D64" s="1750"/>
      <c r="E64" s="1751"/>
      <c r="F64" s="44"/>
      <c r="G64" s="44" t="s">
        <v>1735</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4" t="s">
        <v>1686</v>
      </c>
      <c r="C65" s="55"/>
      <c r="D65" s="1719" t="s">
        <v>1738</v>
      </c>
      <c r="E65" s="1720"/>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x14ac:dyDescent="0.2">
      <c r="A66" s="44"/>
      <c r="B66" s="56" t="s">
        <v>1688</v>
      </c>
      <c r="C66" s="57"/>
      <c r="D66" s="1730" t="s">
        <v>1739</v>
      </c>
      <c r="E66" s="1731"/>
      <c r="F66" s="44"/>
      <c r="G66" s="44" t="s">
        <v>1737</v>
      </c>
      <c r="H66" s="44"/>
      <c r="I66" s="44"/>
      <c r="J66" s="44"/>
      <c r="K66" s="44"/>
      <c r="L66" s="44"/>
      <c r="M66" s="44"/>
      <c r="N66" s="44"/>
      <c r="O66" s="44"/>
      <c r="P66" s="44"/>
      <c r="Q66" s="44"/>
      <c r="R66" s="44"/>
      <c r="S66" s="44"/>
      <c r="T66" s="44"/>
      <c r="U66" s="44"/>
      <c r="V66" s="44"/>
      <c r="W66" s="44"/>
      <c r="X66" s="44"/>
      <c r="Y66" s="44"/>
      <c r="Z66" s="44"/>
    </row>
    <row r="67" spans="1:26" ht="26.25" customHeight="1" x14ac:dyDescent="0.2">
      <c r="A67" s="44"/>
      <c r="B67" s="58" t="s">
        <v>1740</v>
      </c>
      <c r="C67" s="1726" t="s">
        <v>1894</v>
      </c>
      <c r="D67" s="1726"/>
      <c r="E67" s="1727"/>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2" t="s">
        <v>1682</v>
      </c>
      <c r="C68" s="53"/>
      <c r="D68" s="1728" t="s">
        <v>1741</v>
      </c>
      <c r="E68" s="1729"/>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4" t="s">
        <v>1684</v>
      </c>
      <c r="C69" s="55"/>
      <c r="D69" s="1719" t="s">
        <v>1743</v>
      </c>
      <c r="E69" s="1720"/>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x14ac:dyDescent="0.2">
      <c r="A70" s="44"/>
      <c r="B70" s="56" t="s">
        <v>1686</v>
      </c>
      <c r="C70" s="57"/>
      <c r="D70" s="1752" t="s">
        <v>1739</v>
      </c>
      <c r="E70" s="1753"/>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x14ac:dyDescent="0.2">
      <c r="A71" s="44"/>
      <c r="B71" s="58" t="s">
        <v>1745</v>
      </c>
      <c r="C71" s="1726" t="s">
        <v>1895</v>
      </c>
      <c r="D71" s="1726"/>
      <c r="E71" s="1727"/>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2" t="s">
        <v>1682</v>
      </c>
      <c r="C72" s="53"/>
      <c r="D72" s="1728" t="s">
        <v>1746</v>
      </c>
      <c r="E72" s="1729"/>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1684</v>
      </c>
      <c r="C73" s="55"/>
      <c r="D73" s="1719" t="s">
        <v>1747</v>
      </c>
      <c r="E73" s="1720"/>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4" t="s">
        <v>1686</v>
      </c>
      <c r="C74" s="55"/>
      <c r="D74" s="1719" t="s">
        <v>1748</v>
      </c>
      <c r="E74" s="1720"/>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x14ac:dyDescent="0.2">
      <c r="A75" s="44"/>
      <c r="B75" s="56" t="s">
        <v>1688</v>
      </c>
      <c r="C75" s="57"/>
      <c r="D75" s="1752" t="s">
        <v>1739</v>
      </c>
      <c r="E75" s="1753"/>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x14ac:dyDescent="0.2">
      <c r="A76" s="44"/>
      <c r="B76" s="58" t="s">
        <v>1749</v>
      </c>
      <c r="C76" s="1726" t="s">
        <v>1896</v>
      </c>
      <c r="D76" s="1726"/>
      <c r="E76" s="1727"/>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x14ac:dyDescent="0.2">
      <c r="A77" s="44"/>
      <c r="B77" s="1754"/>
      <c r="C77" s="1755"/>
      <c r="D77" s="1755"/>
      <c r="E77" s="1756"/>
      <c r="F77" s="44"/>
      <c r="G77" s="44" t="s">
        <v>55</v>
      </c>
      <c r="H77" s="44"/>
      <c r="I77" s="44"/>
      <c r="J77" s="44"/>
      <c r="K77" s="44"/>
      <c r="L77" s="44"/>
      <c r="M77" s="44"/>
      <c r="N77" s="44"/>
      <c r="O77" s="44"/>
      <c r="P77" s="44"/>
      <c r="Q77" s="44"/>
      <c r="R77" s="44"/>
      <c r="S77" s="44"/>
      <c r="T77" s="44"/>
      <c r="U77" s="44"/>
      <c r="V77" s="44"/>
      <c r="W77" s="44"/>
      <c r="X77" s="44"/>
      <c r="Y77" s="44"/>
      <c r="Z77" s="44"/>
    </row>
    <row r="78" spans="1:26" x14ac:dyDescent="0.2">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x14ac:dyDescent="0.2">
      <c r="A79" s="44"/>
      <c r="B79" s="1757" t="s">
        <v>1899</v>
      </c>
      <c r="C79" s="1757"/>
      <c r="D79" s="1757"/>
      <c r="E79" s="1757"/>
      <c r="F79" s="44"/>
      <c r="G79" s="44" t="s">
        <v>396</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1750</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1751</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x14ac:dyDescent="0.2">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x14ac:dyDescent="0.2">
      <c r="G89" s="66" t="s">
        <v>427</v>
      </c>
    </row>
  </sheetData>
  <sheetProtection algorithmName="SHA-512" hashValue="Qm453guCc4ZMtps6It0TYA9Z+Sw/h2/dFwwM46J+SoC6lYe/9mV/lzUHVyatn/3x6WgWLFWagaJvAR8VtohUcw==" saltValue="8fbFWifsEKXgg4t02HhybA==" spinCount="100000"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x14ac:dyDescent="0.2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1"/>
      <c r="B1" s="1761"/>
      <c r="C1" s="1761"/>
      <c r="D1" s="1761"/>
      <c r="E1" s="1761"/>
      <c r="F1" s="1761"/>
      <c r="G1" s="1761"/>
      <c r="H1" s="1761"/>
      <c r="I1" s="1761"/>
      <c r="J1" s="1761"/>
      <c r="K1" s="1761"/>
      <c r="L1" s="1761"/>
      <c r="M1" s="1761"/>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3" t="s">
        <v>610</v>
      </c>
      <c r="B2" s="924" t="str">
        <f>CONCATENATE('Ввод исходных данных'!D14,'Ввод исходных данных'!D19,'Ввод исходных данных'!D17)</f>
        <v>Нет в списке106</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25">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25">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6"/>
      <c r="B6" s="1758" t="s">
        <v>1398</v>
      </c>
      <c r="C6" s="1759"/>
      <c r="D6" s="1759"/>
      <c r="E6" s="1759"/>
      <c r="F6" s="1760"/>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25">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25">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25">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25">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25">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25">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25">
      <c r="A18" s="961" t="s">
        <v>1943</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25">
      <c r="A19" s="961" t="s">
        <v>1944</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25">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25">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25">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25">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25">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25">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25">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25">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25">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25">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25">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25">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25">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25">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25">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25">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25">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25">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25">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25">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25">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25">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25">
      <c r="A58" s="991" t="s">
        <v>1943</v>
      </c>
      <c r="B58" s="984"/>
      <c r="C58" s="991" t="s">
        <v>1943</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25">
      <c r="A59" s="991" t="s">
        <v>1944</v>
      </c>
      <c r="B59" s="984"/>
      <c r="C59" s="991" t="s">
        <v>1944</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25">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25">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25">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25">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25">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25">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25">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25">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25">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25">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5">
      <c r="A76" s="1003"/>
      <c r="B76" s="1003"/>
      <c r="C76" s="1003" t="str">
        <f>B2</f>
        <v>Нет в списке106</v>
      </c>
      <c r="D76" s="1003">
        <f>'Ввод исходных данных'!D19</f>
        <v>10</v>
      </c>
      <c r="E76" s="1003">
        <f>'Ввод исходных данных'!D17</f>
        <v>6</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30</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266</v>
      </c>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82" zoomScale="75" zoomScaleNormal="75" workbookViewId="0">
      <selection activeCell="C85" sqref="C85"/>
    </sheetView>
  </sheetViews>
  <sheetFormatPr defaultColWidth="9.140625"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86" t="s">
        <v>1172</v>
      </c>
      <c r="B3" s="1786"/>
      <c r="C3" s="1786"/>
      <c r="D3" s="1786"/>
      <c r="E3" s="1786"/>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90" t="s">
        <v>834</v>
      </c>
      <c r="B4" s="1776" t="s">
        <v>1174</v>
      </c>
      <c r="C4" s="1792" t="s">
        <v>1175</v>
      </c>
      <c r="D4" s="1772" t="s">
        <v>1176</v>
      </c>
      <c r="E4" s="1770" t="s">
        <v>1177</v>
      </c>
      <c r="F4" s="74"/>
      <c r="G4" s="1779" t="s">
        <v>834</v>
      </c>
      <c r="H4" s="1784" t="s">
        <v>1174</v>
      </c>
      <c r="I4" s="1787" t="s">
        <v>488</v>
      </c>
      <c r="J4" s="1788"/>
      <c r="K4" s="1789"/>
      <c r="L4" s="1787" t="s">
        <v>489</v>
      </c>
      <c r="M4" s="1788"/>
      <c r="N4" s="1789"/>
      <c r="O4" s="1787" t="s">
        <v>490</v>
      </c>
      <c r="P4" s="1788"/>
      <c r="Q4" s="1789"/>
      <c r="R4" s="1787" t="s">
        <v>491</v>
      </c>
      <c r="S4" s="1788"/>
      <c r="T4" s="1789"/>
      <c r="U4" s="1787" t="s">
        <v>805</v>
      </c>
      <c r="V4" s="1788"/>
      <c r="W4" s="1789"/>
      <c r="X4" s="1787" t="s">
        <v>806</v>
      </c>
      <c r="Y4" s="1788"/>
      <c r="Z4" s="1789"/>
      <c r="AA4" s="1787" t="s">
        <v>807</v>
      </c>
      <c r="AB4" s="1788"/>
      <c r="AC4" s="1789"/>
      <c r="AD4" s="1787" t="s">
        <v>808</v>
      </c>
      <c r="AE4" s="1788"/>
      <c r="AF4" s="1789"/>
      <c r="AG4" s="1787" t="s">
        <v>809</v>
      </c>
      <c r="AH4" s="1788"/>
      <c r="AI4" s="1789"/>
      <c r="AJ4" s="1787" t="s">
        <v>482</v>
      </c>
      <c r="AK4" s="1788"/>
      <c r="AL4" s="1789"/>
      <c r="AM4" s="1787" t="s">
        <v>486</v>
      </c>
      <c r="AN4" s="1788"/>
      <c r="AO4" s="1789"/>
      <c r="AP4" s="1794" t="s">
        <v>487</v>
      </c>
      <c r="AQ4" s="1795"/>
      <c r="AR4" s="1795"/>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91"/>
      <c r="B5" s="1777"/>
      <c r="C5" s="1793"/>
      <c r="D5" s="1773"/>
      <c r="E5" s="1771"/>
      <c r="F5" s="74"/>
      <c r="G5" s="1780"/>
      <c r="H5" s="1785"/>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2" t="s">
        <v>1178</v>
      </c>
      <c r="B6" s="523" t="s">
        <v>842</v>
      </c>
      <c r="C6" s="524">
        <f>C12+C15+C18</f>
        <v>3426719.7570756436</v>
      </c>
      <c r="D6" s="525">
        <f>D12+D15+D18</f>
        <v>3783678.2420000001</v>
      </c>
      <c r="E6" s="526">
        <f>E12+E15+E18</f>
        <v>3953046.462747558</v>
      </c>
      <c r="F6" s="74"/>
      <c r="G6" s="527" t="s">
        <v>1178</v>
      </c>
      <c r="H6" s="528" t="s">
        <v>842</v>
      </c>
      <c r="I6" s="327">
        <f>I12+I15+I18</f>
        <v>554782.2369437156</v>
      </c>
      <c r="J6" s="529">
        <f t="shared" ref="J6" si="0">J12+J15+J18</f>
        <v>543113</v>
      </c>
      <c r="K6" s="530">
        <f t="shared" ref="K6" si="1">K12+K15+K18</f>
        <v>574510.64357864368</v>
      </c>
      <c r="L6" s="327">
        <f>L12+L15+L18</f>
        <v>482826.81447378226</v>
      </c>
      <c r="M6" s="529">
        <f t="shared" ref="M6:N6" si="2">M12+M15+M18</f>
        <v>522970</v>
      </c>
      <c r="N6" s="530">
        <f t="shared" si="2"/>
        <v>562136.83870967757</v>
      </c>
      <c r="O6" s="531">
        <f>O12+O15+O18</f>
        <v>432330.07995582622</v>
      </c>
      <c r="P6" s="532">
        <f t="shared" ref="P6:Q6" si="3">P12+P15+P18</f>
        <v>399512.88199999998</v>
      </c>
      <c r="Q6" s="533">
        <f t="shared" si="3"/>
        <v>434805.76653776196</v>
      </c>
      <c r="R6" s="327">
        <f>R12+R15+R18</f>
        <v>277785.52323084499</v>
      </c>
      <c r="S6" s="529">
        <f t="shared" ref="S6:T6" si="4">S12+S15+S18</f>
        <v>366303</v>
      </c>
      <c r="T6" s="530">
        <f t="shared" si="4"/>
        <v>574639.60443995963</v>
      </c>
      <c r="U6" s="531">
        <f>U12+U15+U18</f>
        <v>58597.968023386144</v>
      </c>
      <c r="V6" s="532">
        <f t="shared" ref="V6:W6" si="5">V12+V15+V18</f>
        <v>243041</v>
      </c>
      <c r="W6" s="533">
        <f t="shared" si="5"/>
        <v>136282.51408450704</v>
      </c>
      <c r="X6" s="327">
        <f>X12+X15+X18</f>
        <v>79733.566999506889</v>
      </c>
      <c r="Y6" s="529">
        <f t="shared" ref="Y6:Z6" si="6">Y12+Y15+Y18</f>
        <v>101165</v>
      </c>
      <c r="Z6" s="530">
        <f t="shared" si="6"/>
        <v>101165</v>
      </c>
      <c r="AA6" s="531">
        <f>AA12+AA15+AA18</f>
        <v>52421.476855276131</v>
      </c>
      <c r="AB6" s="532">
        <f t="shared" ref="AB6:AC6" si="7">AB12+AB15+AB18</f>
        <v>100944</v>
      </c>
      <c r="AC6" s="533">
        <f t="shared" si="7"/>
        <v>100944</v>
      </c>
      <c r="AD6" s="327">
        <f>AD12+AD15+AD18</f>
        <v>81834.497010601568</v>
      </c>
      <c r="AE6" s="529">
        <f t="shared" ref="AE6:AF6" si="8">AE12+AE15+AE18</f>
        <v>101495</v>
      </c>
      <c r="AF6" s="530">
        <f t="shared" si="8"/>
        <v>101495</v>
      </c>
      <c r="AG6" s="327">
        <f>AG12+AG15+AG18</f>
        <v>113312.58375765377</v>
      </c>
      <c r="AH6" s="529">
        <f t="shared" ref="AH6:AI6" si="9">AH12+AH15+AH18</f>
        <v>102437</v>
      </c>
      <c r="AI6" s="530">
        <f t="shared" si="9"/>
        <v>101274</v>
      </c>
      <c r="AJ6" s="327">
        <f>AJ12+AJ15+AJ18</f>
        <v>284411.1764238911</v>
      </c>
      <c r="AK6" s="529">
        <f t="shared" ref="AK6:AL6" si="10">AK12+AK15+AK18</f>
        <v>263988</v>
      </c>
      <c r="AL6" s="530">
        <f t="shared" si="10"/>
        <v>239985.9317931793</v>
      </c>
      <c r="AM6" s="327">
        <f>AM12+AM15+AM18</f>
        <v>405607.9995357095</v>
      </c>
      <c r="AN6" s="529">
        <f t="shared" ref="AN6:AO6" si="11">AN12+AN15+AN18</f>
        <v>532276</v>
      </c>
      <c r="AO6" s="530">
        <f t="shared" si="11"/>
        <v>464434.33333333331</v>
      </c>
      <c r="AP6" s="534">
        <f>AP12+AP15+AP18</f>
        <v>516257.96283516608</v>
      </c>
      <c r="AQ6" s="535">
        <f t="shared" ref="AQ6:AR6" si="12">AQ12+AQ15+AQ18</f>
        <v>506433.36</v>
      </c>
      <c r="AR6" s="535">
        <f t="shared" si="12"/>
        <v>555086.3482621453</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58" t="s">
        <v>874</v>
      </c>
      <c r="B7" s="359" t="s">
        <v>1180</v>
      </c>
      <c r="C7" s="536">
        <f>C6*0.123/1000</f>
        <v>421.48653012030417</v>
      </c>
      <c r="D7" s="537">
        <f>D6*0.123/1000</f>
        <v>465.39242376600004</v>
      </c>
      <c r="E7" s="538">
        <f>E6*0.123/1000</f>
        <v>486.22471491794965</v>
      </c>
      <c r="F7" s="74"/>
      <c r="G7" s="539" t="s">
        <v>874</v>
      </c>
      <c r="H7" s="540" t="s">
        <v>1180</v>
      </c>
      <c r="I7" s="536">
        <f t="shared" ref="I7:AR7" si="13">I6*0.123/1000</f>
        <v>68.238215144077031</v>
      </c>
      <c r="J7" s="537">
        <f t="shared" si="13"/>
        <v>66.802899000000011</v>
      </c>
      <c r="K7" s="538">
        <f t="shared" si="13"/>
        <v>70.664809160173178</v>
      </c>
      <c r="L7" s="536">
        <f t="shared" si="13"/>
        <v>59.387698180275223</v>
      </c>
      <c r="M7" s="537">
        <f t="shared" si="13"/>
        <v>64.325310000000002</v>
      </c>
      <c r="N7" s="538">
        <f t="shared" si="13"/>
        <v>69.142831161290331</v>
      </c>
      <c r="O7" s="536">
        <f t="shared" si="13"/>
        <v>53.176599834566623</v>
      </c>
      <c r="P7" s="537">
        <f t="shared" si="13"/>
        <v>49.140084485999999</v>
      </c>
      <c r="Q7" s="538">
        <f t="shared" si="13"/>
        <v>53.481109284144715</v>
      </c>
      <c r="R7" s="536">
        <f t="shared" si="13"/>
        <v>34.167619357393932</v>
      </c>
      <c r="S7" s="537">
        <f t="shared" si="13"/>
        <v>45.055269000000003</v>
      </c>
      <c r="T7" s="538">
        <f t="shared" si="13"/>
        <v>70.680671346115034</v>
      </c>
      <c r="U7" s="536">
        <f t="shared" si="13"/>
        <v>7.2075500668764949</v>
      </c>
      <c r="V7" s="537">
        <f t="shared" si="13"/>
        <v>29.894042999999996</v>
      </c>
      <c r="W7" s="538">
        <f t="shared" si="13"/>
        <v>16.762749232394366</v>
      </c>
      <c r="X7" s="536">
        <f t="shared" si="13"/>
        <v>9.8072287409393475</v>
      </c>
      <c r="Y7" s="537">
        <f t="shared" si="13"/>
        <v>12.443295000000001</v>
      </c>
      <c r="Z7" s="538">
        <f t="shared" si="13"/>
        <v>12.443295000000001</v>
      </c>
      <c r="AA7" s="536">
        <f t="shared" si="13"/>
        <v>6.4478416531989646</v>
      </c>
      <c r="AB7" s="537">
        <f t="shared" si="13"/>
        <v>12.416112</v>
      </c>
      <c r="AC7" s="541">
        <f t="shared" si="13"/>
        <v>12.416112</v>
      </c>
      <c r="AD7" s="536">
        <f t="shared" si="13"/>
        <v>10.065643132303993</v>
      </c>
      <c r="AE7" s="537">
        <f t="shared" si="13"/>
        <v>12.483885000000001</v>
      </c>
      <c r="AF7" s="538">
        <f t="shared" si="13"/>
        <v>12.483885000000001</v>
      </c>
      <c r="AG7" s="536">
        <f t="shared" si="13"/>
        <v>13.937447802191414</v>
      </c>
      <c r="AH7" s="537">
        <f t="shared" si="13"/>
        <v>12.599750999999999</v>
      </c>
      <c r="AI7" s="538">
        <f t="shared" si="13"/>
        <v>12.456702</v>
      </c>
      <c r="AJ7" s="536">
        <f t="shared" si="13"/>
        <v>34.982574700138606</v>
      </c>
      <c r="AK7" s="537">
        <f t="shared" si="13"/>
        <v>32.470524000000005</v>
      </c>
      <c r="AL7" s="538">
        <f t="shared" si="13"/>
        <v>29.518269610561056</v>
      </c>
      <c r="AM7" s="536">
        <f t="shared" si="13"/>
        <v>49.889783942892265</v>
      </c>
      <c r="AN7" s="537">
        <f t="shared" si="13"/>
        <v>65.469948000000002</v>
      </c>
      <c r="AO7" s="538">
        <f t="shared" si="13"/>
        <v>57.125422999999998</v>
      </c>
      <c r="AP7" s="542">
        <f t="shared" si="13"/>
        <v>63.499729428725423</v>
      </c>
      <c r="AQ7" s="537">
        <f t="shared" si="13"/>
        <v>62.291303280000001</v>
      </c>
      <c r="AR7" s="538">
        <f t="shared" si="13"/>
        <v>68.275620836243874</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4" t="s">
        <v>1347</v>
      </c>
      <c r="B9" s="523" t="s">
        <v>842</v>
      </c>
      <c r="C9" s="555">
        <f>C12+C15</f>
        <v>3226251.7570756436</v>
      </c>
      <c r="D9" s="525">
        <f>D12+D15</f>
        <v>3675328.8820000002</v>
      </c>
      <c r="E9" s="556">
        <f>E12+E15</f>
        <v>3844697.1027475582</v>
      </c>
      <c r="F9" s="456"/>
      <c r="G9" s="557" t="s">
        <v>1183</v>
      </c>
      <c r="H9" s="528" t="s">
        <v>842</v>
      </c>
      <c r="I9" s="327">
        <f t="shared" ref="I9:AR9" si="16">I12+I15</f>
        <v>538076.57027704897</v>
      </c>
      <c r="J9" s="529">
        <f t="shared" si="16"/>
        <v>528002</v>
      </c>
      <c r="K9" s="530">
        <f t="shared" si="16"/>
        <v>559399.64357864368</v>
      </c>
      <c r="L9" s="327">
        <f t="shared" si="16"/>
        <v>466121.14780711557</v>
      </c>
      <c r="M9" s="529">
        <f t="shared" si="16"/>
        <v>519861</v>
      </c>
      <c r="N9" s="530">
        <f t="shared" si="16"/>
        <v>559027.83870967757</v>
      </c>
      <c r="O9" s="327">
        <f t="shared" si="16"/>
        <v>415624.41328915954</v>
      </c>
      <c r="P9" s="529">
        <f t="shared" si="16"/>
        <v>384038.88199999998</v>
      </c>
      <c r="Q9" s="530">
        <f t="shared" si="16"/>
        <v>419331.76653776196</v>
      </c>
      <c r="R9" s="327">
        <f t="shared" si="16"/>
        <v>261079.85656417831</v>
      </c>
      <c r="S9" s="529">
        <f t="shared" si="16"/>
        <v>354715</v>
      </c>
      <c r="T9" s="530">
        <f t="shared" si="16"/>
        <v>563051.60443995963</v>
      </c>
      <c r="U9" s="327">
        <f t="shared" si="16"/>
        <v>41892.301356719479</v>
      </c>
      <c r="V9" s="529">
        <f t="shared" si="16"/>
        <v>232600</v>
      </c>
      <c r="W9" s="530">
        <f t="shared" si="16"/>
        <v>125841.51408450704</v>
      </c>
      <c r="X9" s="327">
        <f t="shared" si="16"/>
        <v>63027.900332840225</v>
      </c>
      <c r="Y9" s="529">
        <f t="shared" si="16"/>
        <v>93040</v>
      </c>
      <c r="Z9" s="530">
        <f t="shared" si="16"/>
        <v>93040</v>
      </c>
      <c r="AA9" s="327">
        <f t="shared" si="16"/>
        <v>35715.810188609466</v>
      </c>
      <c r="AB9" s="529">
        <f t="shared" si="16"/>
        <v>93040</v>
      </c>
      <c r="AC9" s="530">
        <f t="shared" si="16"/>
        <v>93040</v>
      </c>
      <c r="AD9" s="327">
        <f t="shared" si="16"/>
        <v>65128.830343934904</v>
      </c>
      <c r="AE9" s="529">
        <f t="shared" si="16"/>
        <v>93040</v>
      </c>
      <c r="AF9" s="530">
        <f t="shared" si="16"/>
        <v>93040</v>
      </c>
      <c r="AG9" s="327">
        <f t="shared" si="16"/>
        <v>96606.917090987117</v>
      </c>
      <c r="AH9" s="529">
        <f t="shared" si="16"/>
        <v>94203</v>
      </c>
      <c r="AI9" s="530">
        <f t="shared" si="16"/>
        <v>93040</v>
      </c>
      <c r="AJ9" s="327">
        <f t="shared" si="16"/>
        <v>267705.50975722441</v>
      </c>
      <c r="AK9" s="529">
        <f t="shared" si="16"/>
        <v>255860</v>
      </c>
      <c r="AL9" s="530">
        <f t="shared" si="16"/>
        <v>231857.9317931793</v>
      </c>
      <c r="AM9" s="327">
        <f t="shared" si="16"/>
        <v>388902.33286904282</v>
      </c>
      <c r="AN9" s="529">
        <f t="shared" si="16"/>
        <v>525676</v>
      </c>
      <c r="AO9" s="530">
        <f t="shared" si="16"/>
        <v>457834.33333333331</v>
      </c>
      <c r="AP9" s="534">
        <f t="shared" si="16"/>
        <v>499552.29616849939</v>
      </c>
      <c r="AQ9" s="535">
        <f t="shared" si="16"/>
        <v>501253</v>
      </c>
      <c r="AR9" s="535">
        <f t="shared" si="16"/>
        <v>549905.98826214531</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58" t="s">
        <v>874</v>
      </c>
      <c r="B10" s="359" t="s">
        <v>1184</v>
      </c>
      <c r="C10" s="558">
        <f>C9*0.86/1000</f>
        <v>2774.5765110850534</v>
      </c>
      <c r="D10" s="559">
        <f>D9*0.86/1000</f>
        <v>3160.78283852</v>
      </c>
      <c r="E10" s="560">
        <f>E9*0.86/1000</f>
        <v>3306.4395083629001</v>
      </c>
      <c r="F10" s="74">
        <f>C10/'Ввод исходных данных'!$G$45</f>
        <v>0.21968143397348008</v>
      </c>
      <c r="G10" s="539" t="s">
        <v>874</v>
      </c>
      <c r="H10" s="540" t="s">
        <v>1184</v>
      </c>
      <c r="I10" s="561">
        <f t="shared" ref="I10:AR10" si="17">I9*0.86/1000</f>
        <v>462.7458504382621</v>
      </c>
      <c r="J10" s="286">
        <f t="shared" si="17"/>
        <v>454.08171999999996</v>
      </c>
      <c r="K10" s="562">
        <f t="shared" si="17"/>
        <v>481.08369347763357</v>
      </c>
      <c r="L10" s="561">
        <f t="shared" si="17"/>
        <v>400.86418711411943</v>
      </c>
      <c r="M10" s="286">
        <f t="shared" si="17"/>
        <v>447.08046000000002</v>
      </c>
      <c r="N10" s="562">
        <f t="shared" si="17"/>
        <v>480.76394129032269</v>
      </c>
      <c r="O10" s="561">
        <f t="shared" si="17"/>
        <v>357.43699542867716</v>
      </c>
      <c r="P10" s="286">
        <f t="shared" si="17"/>
        <v>330.27343851999996</v>
      </c>
      <c r="Q10" s="562">
        <f t="shared" si="17"/>
        <v>360.6253192224753</v>
      </c>
      <c r="R10" s="561">
        <f t="shared" si="17"/>
        <v>224.52867664519334</v>
      </c>
      <c r="S10" s="286">
        <f t="shared" si="17"/>
        <v>305.05490000000003</v>
      </c>
      <c r="T10" s="562">
        <f t="shared" si="17"/>
        <v>484.22437981836526</v>
      </c>
      <c r="U10" s="561">
        <f t="shared" si="17"/>
        <v>36.027379166778751</v>
      </c>
      <c r="V10" s="286">
        <f t="shared" si="17"/>
        <v>200.036</v>
      </c>
      <c r="W10" s="562">
        <f t="shared" si="17"/>
        <v>108.22370211267605</v>
      </c>
      <c r="X10" s="561">
        <f t="shared" si="17"/>
        <v>54.203994286242597</v>
      </c>
      <c r="Y10" s="286">
        <f t="shared" si="17"/>
        <v>80.014399999999995</v>
      </c>
      <c r="Z10" s="562">
        <f t="shared" si="17"/>
        <v>80.014399999999995</v>
      </c>
      <c r="AA10" s="561">
        <f t="shared" si="17"/>
        <v>30.715596762204139</v>
      </c>
      <c r="AB10" s="286">
        <f t="shared" si="17"/>
        <v>80.014399999999995</v>
      </c>
      <c r="AC10" s="562">
        <f t="shared" si="17"/>
        <v>80.014399999999995</v>
      </c>
      <c r="AD10" s="561">
        <f t="shared" si="17"/>
        <v>56.010794095784021</v>
      </c>
      <c r="AE10" s="286">
        <f t="shared" si="17"/>
        <v>80.014399999999995</v>
      </c>
      <c r="AF10" s="562">
        <f t="shared" si="17"/>
        <v>80.014399999999995</v>
      </c>
      <c r="AG10" s="561">
        <f t="shared" si="17"/>
        <v>83.081948698248922</v>
      </c>
      <c r="AH10" s="286">
        <f t="shared" si="17"/>
        <v>81.014579999999995</v>
      </c>
      <c r="AI10" s="562">
        <f t="shared" si="17"/>
        <v>80.014399999999995</v>
      </c>
      <c r="AJ10" s="561">
        <f t="shared" si="17"/>
        <v>230.22673839121299</v>
      </c>
      <c r="AK10" s="286">
        <f t="shared" si="17"/>
        <v>220.03960000000001</v>
      </c>
      <c r="AL10" s="562">
        <f t="shared" si="17"/>
        <v>199.39782134213422</v>
      </c>
      <c r="AM10" s="561">
        <f t="shared" si="17"/>
        <v>334.45600626737684</v>
      </c>
      <c r="AN10" s="286">
        <f t="shared" si="17"/>
        <v>452.08135999999996</v>
      </c>
      <c r="AO10" s="562">
        <f t="shared" si="17"/>
        <v>393.73752666666667</v>
      </c>
      <c r="AP10" s="563">
        <f t="shared" si="17"/>
        <v>429.61497470490951</v>
      </c>
      <c r="AQ10" s="286">
        <f t="shared" si="17"/>
        <v>431.07758000000001</v>
      </c>
      <c r="AR10" s="286">
        <f t="shared" si="17"/>
        <v>472.91914990544495</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58" t="s">
        <v>874</v>
      </c>
      <c r="B11" s="359" t="s">
        <v>1181</v>
      </c>
      <c r="C11" s="564">
        <f>C9/$C$6</f>
        <v>0.94149857175041385</v>
      </c>
      <c r="D11" s="565">
        <f>D9/$D$6</f>
        <v>0.97136401325110355</v>
      </c>
      <c r="E11" s="566"/>
      <c r="F11" s="74">
        <f>E10/'Ввод исходных данных'!$G$45</f>
        <v>0.26179251847687252</v>
      </c>
      <c r="G11" s="539"/>
      <c r="H11" s="540"/>
      <c r="I11" s="567">
        <f t="shared" ref="I11:AR11" si="18">I9/I$6</f>
        <v>0.96988788473348064</v>
      </c>
      <c r="J11" s="553">
        <f t="shared" si="18"/>
        <v>0.9721770607589949</v>
      </c>
      <c r="K11" s="568">
        <f t="shared" si="18"/>
        <v>0.97369761523324772</v>
      </c>
      <c r="L11" s="567">
        <f t="shared" si="18"/>
        <v>0.96540029226654767</v>
      </c>
      <c r="M11" s="553">
        <f t="shared" si="18"/>
        <v>0.99405510832361321</v>
      </c>
      <c r="N11" s="568">
        <f t="shared" si="18"/>
        <v>0.99446931816968909</v>
      </c>
      <c r="O11" s="567">
        <f t="shared" si="18"/>
        <v>0.96135899989107021</v>
      </c>
      <c r="P11" s="553">
        <f t="shared" si="18"/>
        <v>0.96126783215966483</v>
      </c>
      <c r="Q11" s="568">
        <f t="shared" si="18"/>
        <v>0.9644116955411719</v>
      </c>
      <c r="R11" s="567">
        <f t="shared" si="18"/>
        <v>0.93986127688596655</v>
      </c>
      <c r="S11" s="553">
        <f t="shared" si="18"/>
        <v>0.96836498745574018</v>
      </c>
      <c r="T11" s="568">
        <f t="shared" si="18"/>
        <v>0.97983431717816671</v>
      </c>
      <c r="U11" s="567">
        <f t="shared" si="18"/>
        <v>0.71491047846574607</v>
      </c>
      <c r="V11" s="553">
        <f t="shared" si="18"/>
        <v>0.95704017017704834</v>
      </c>
      <c r="W11" s="568">
        <f t="shared" si="18"/>
        <v>0.9233870898982266</v>
      </c>
      <c r="X11" s="567">
        <f t="shared" si="18"/>
        <v>0.79048138324515216</v>
      </c>
      <c r="Y11" s="553">
        <f t="shared" si="18"/>
        <v>0.91968566203726587</v>
      </c>
      <c r="Z11" s="568">
        <f t="shared" si="18"/>
        <v>0.91968566203726587</v>
      </c>
      <c r="AA11" s="567">
        <f t="shared" si="18"/>
        <v>0.68132018270322214</v>
      </c>
      <c r="AB11" s="553">
        <f t="shared" si="18"/>
        <v>0.92169915993025842</v>
      </c>
      <c r="AC11" s="568">
        <f t="shared" si="18"/>
        <v>0.92169915993025842</v>
      </c>
      <c r="AD11" s="567">
        <f t="shared" si="18"/>
        <v>0.7958603366926974</v>
      </c>
      <c r="AE11" s="553">
        <f t="shared" si="18"/>
        <v>0.91669540371446867</v>
      </c>
      <c r="AF11" s="568">
        <f t="shared" si="18"/>
        <v>0.91669540371446867</v>
      </c>
      <c r="AG11" s="567">
        <f t="shared" si="18"/>
        <v>0.85257006668918833</v>
      </c>
      <c r="AH11" s="553">
        <f t="shared" si="18"/>
        <v>0.91961888770659039</v>
      </c>
      <c r="AI11" s="568">
        <f t="shared" si="18"/>
        <v>0.91869581531291344</v>
      </c>
      <c r="AJ11" s="567">
        <f t="shared" si="18"/>
        <v>0.94126227078443536</v>
      </c>
      <c r="AK11" s="553">
        <f t="shared" si="18"/>
        <v>0.9692107216994712</v>
      </c>
      <c r="AL11" s="568">
        <f t="shared" si="18"/>
        <v>0.96613134803666434</v>
      </c>
      <c r="AM11" s="567">
        <f t="shared" si="18"/>
        <v>0.95881327122298055</v>
      </c>
      <c r="AN11" s="553">
        <f t="shared" si="18"/>
        <v>0.98760041782834473</v>
      </c>
      <c r="AO11" s="568">
        <f t="shared" si="18"/>
        <v>0.98578916430955799</v>
      </c>
      <c r="AP11" s="552">
        <f t="shared" si="18"/>
        <v>0.96764085424479818</v>
      </c>
      <c r="AQ11" s="553">
        <f t="shared" si="18"/>
        <v>0.98977089502950599</v>
      </c>
      <c r="AR11" s="553">
        <f t="shared" si="18"/>
        <v>0.99066746999594102</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69" t="s">
        <v>1185</v>
      </c>
      <c r="B12" s="570" t="s">
        <v>842</v>
      </c>
      <c r="C12" s="571">
        <f>C35</f>
        <v>2303035.6729410281</v>
      </c>
      <c r="D12" s="572">
        <f>D35</f>
        <v>2464131.8360000001</v>
      </c>
      <c r="E12" s="573">
        <f>E35</f>
        <v>2633500.0567475581</v>
      </c>
      <c r="F12" s="74"/>
      <c r="G12" s="574" t="s">
        <v>1185</v>
      </c>
      <c r="H12" s="575" t="s">
        <v>842</v>
      </c>
      <c r="I12" s="576">
        <f t="shared" ref="I12:AR12" si="19">I35</f>
        <v>449630.01055071759</v>
      </c>
      <c r="J12" s="305">
        <f t="shared" si="19"/>
        <v>410539</v>
      </c>
      <c r="K12" s="577">
        <f t="shared" si="19"/>
        <v>441936.64357864362</v>
      </c>
      <c r="L12" s="578">
        <f t="shared" si="19"/>
        <v>386233.93257042917</v>
      </c>
      <c r="M12" s="305">
        <f t="shared" si="19"/>
        <v>404724</v>
      </c>
      <c r="N12" s="577">
        <f t="shared" si="19"/>
        <v>443890.83870967757</v>
      </c>
      <c r="O12" s="578">
        <f t="shared" si="19"/>
        <v>327177.85356282815</v>
      </c>
      <c r="P12" s="305">
        <f t="shared" si="19"/>
        <v>286995.83600000001</v>
      </c>
      <c r="Q12" s="577">
        <f t="shared" si="19"/>
        <v>322288.72053776198</v>
      </c>
      <c r="R12" s="578">
        <f t="shared" si="19"/>
        <v>175486.41166772862</v>
      </c>
      <c r="S12" s="305">
        <f t="shared" si="19"/>
        <v>261675</v>
      </c>
      <c r="T12" s="577">
        <f t="shared" si="19"/>
        <v>470011.60443995963</v>
      </c>
      <c r="U12" s="576">
        <f t="shared" si="19"/>
        <v>-23236.528987215424</v>
      </c>
      <c r="V12" s="305">
        <f t="shared" si="19"/>
        <v>139560</v>
      </c>
      <c r="W12" s="577">
        <f t="shared" si="19"/>
        <v>32801.514084507049</v>
      </c>
      <c r="X12" s="576">
        <f t="shared" si="19"/>
        <v>0</v>
      </c>
      <c r="Y12" s="305">
        <f t="shared" si="19"/>
        <v>0</v>
      </c>
      <c r="Z12" s="577">
        <f t="shared" si="19"/>
        <v>0</v>
      </c>
      <c r="AA12" s="578">
        <f t="shared" si="19"/>
        <v>0</v>
      </c>
      <c r="AB12" s="305">
        <f t="shared" si="19"/>
        <v>0</v>
      </c>
      <c r="AC12" s="577">
        <f t="shared" si="19"/>
        <v>0</v>
      </c>
      <c r="AD12" s="576">
        <f t="shared" si="19"/>
        <v>0</v>
      </c>
      <c r="AE12" s="305">
        <f t="shared" si="19"/>
        <v>0</v>
      </c>
      <c r="AF12" s="577">
        <f t="shared" si="19"/>
        <v>0</v>
      </c>
      <c r="AG12" s="578">
        <f t="shared" si="19"/>
        <v>19572.81668418238</v>
      </c>
      <c r="AH12" s="305">
        <f t="shared" si="19"/>
        <v>1163</v>
      </c>
      <c r="AI12" s="577">
        <f t="shared" si="19"/>
        <v>0</v>
      </c>
      <c r="AJ12" s="576">
        <f t="shared" si="19"/>
        <v>179258.95003089303</v>
      </c>
      <c r="AK12" s="305">
        <f t="shared" si="19"/>
        <v>162820</v>
      </c>
      <c r="AL12" s="577">
        <f t="shared" si="19"/>
        <v>138817.9317931793</v>
      </c>
      <c r="AM12" s="578">
        <f t="shared" si="19"/>
        <v>303308.88797259313</v>
      </c>
      <c r="AN12" s="305">
        <f t="shared" si="19"/>
        <v>407050</v>
      </c>
      <c r="AO12" s="577">
        <f t="shared" si="19"/>
        <v>339208.33333333331</v>
      </c>
      <c r="AP12" s="579">
        <f t="shared" si="19"/>
        <v>411105.73644216801</v>
      </c>
      <c r="AQ12" s="305">
        <f t="shared" si="19"/>
        <v>389605</v>
      </c>
      <c r="AR12" s="305">
        <f t="shared" si="19"/>
        <v>438257.98826214537</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58" t="s">
        <v>874</v>
      </c>
      <c r="B13" s="359" t="s">
        <v>1184</v>
      </c>
      <c r="C13" s="558">
        <f>C12*0.86/1000</f>
        <v>1980.610678729284</v>
      </c>
      <c r="D13" s="559">
        <f>D36</f>
        <v>2118.7719999999999</v>
      </c>
      <c r="E13" s="560">
        <f>E36</f>
        <v>2264.8100488028999</v>
      </c>
      <c r="F13" s="74">
        <f>C13/'Ввод исходных данных'!$G$45</f>
        <v>0.156817947642857</v>
      </c>
      <c r="G13" s="539" t="s">
        <v>874</v>
      </c>
      <c r="H13" s="540" t="s">
        <v>1184</v>
      </c>
      <c r="I13" s="561">
        <f>I12*0.86/1000</f>
        <v>386.6818090736171</v>
      </c>
      <c r="J13" s="286">
        <f>J36</f>
        <v>353</v>
      </c>
      <c r="K13" s="562">
        <f>K36</f>
        <v>379.99711399711401</v>
      </c>
      <c r="L13" s="561">
        <f>L12*0.86/1000</f>
        <v>332.16118201056906</v>
      </c>
      <c r="M13" s="286">
        <f>M36</f>
        <v>348</v>
      </c>
      <c r="N13" s="562">
        <f>N36</f>
        <v>381.67741935483883</v>
      </c>
      <c r="O13" s="561">
        <f>O12*0.86/1000</f>
        <v>281.37295406403217</v>
      </c>
      <c r="P13" s="286">
        <f>P36</f>
        <v>246.77199999999999</v>
      </c>
      <c r="Q13" s="562">
        <f>Q36</f>
        <v>277.11841834717279</v>
      </c>
      <c r="R13" s="561">
        <f>R12*0.86/1000</f>
        <v>150.91831403424661</v>
      </c>
      <c r="S13" s="286">
        <f>S36</f>
        <v>225</v>
      </c>
      <c r="T13" s="562">
        <f>T36</f>
        <v>404.13723511604439</v>
      </c>
      <c r="U13" s="561">
        <f>U12*0.86/1000</f>
        <v>-19.983414929005267</v>
      </c>
      <c r="V13" s="286">
        <f>V36</f>
        <v>120</v>
      </c>
      <c r="W13" s="562">
        <f>W36</f>
        <v>28.204225352112683</v>
      </c>
      <c r="X13" s="561">
        <f>X12*0.86/1000</f>
        <v>0</v>
      </c>
      <c r="Y13" s="286">
        <f>Y36</f>
        <v>0</v>
      </c>
      <c r="Z13" s="562">
        <f>Z36</f>
        <v>0</v>
      </c>
      <c r="AA13" s="561">
        <f>AA12*0.86/1000</f>
        <v>0</v>
      </c>
      <c r="AB13" s="286">
        <f>AB36</f>
        <v>0</v>
      </c>
      <c r="AC13" s="562">
        <f>AC36</f>
        <v>0</v>
      </c>
      <c r="AD13" s="561">
        <f>AD12*0.86/1000</f>
        <v>0</v>
      </c>
      <c r="AE13" s="286">
        <f>AE36</f>
        <v>0</v>
      </c>
      <c r="AF13" s="562">
        <f>AF36</f>
        <v>0</v>
      </c>
      <c r="AG13" s="561">
        <f>AG12*0.86/1000</f>
        <v>16.832622348396846</v>
      </c>
      <c r="AH13" s="286">
        <f>AH36</f>
        <v>1</v>
      </c>
      <c r="AI13" s="562">
        <f>AI36</f>
        <v>0</v>
      </c>
      <c r="AJ13" s="561">
        <f>AJ12*0.86/1000</f>
        <v>154.162697026568</v>
      </c>
      <c r="AK13" s="286">
        <f>AK36</f>
        <v>140</v>
      </c>
      <c r="AL13" s="562">
        <f>AL36</f>
        <v>119.36193619361936</v>
      </c>
      <c r="AM13" s="561">
        <f>AM12*0.86/1000</f>
        <v>260.84564365643007</v>
      </c>
      <c r="AN13" s="286">
        <f>AN36</f>
        <v>350</v>
      </c>
      <c r="AO13" s="562">
        <f>AO36</f>
        <v>291.66666666666663</v>
      </c>
      <c r="AP13" s="563">
        <f>AP12*0.86/1000</f>
        <v>353.55093334026446</v>
      </c>
      <c r="AQ13" s="286">
        <f>AQ36</f>
        <v>335</v>
      </c>
      <c r="AR13" s="286">
        <f>AR36</f>
        <v>376.83403977828493</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58" t="s">
        <v>874</v>
      </c>
      <c r="B14" s="359" t="s">
        <v>1181</v>
      </c>
      <c r="C14" s="564">
        <f>C12/$C$6</f>
        <v>0.67208170968332537</v>
      </c>
      <c r="D14" s="565">
        <f>D12/$D$6</f>
        <v>0.65125300789252472</v>
      </c>
      <c r="E14" s="566"/>
      <c r="F14" s="74">
        <f>E13/'Ввод исходных данных'!$G$45</f>
        <v>0.17931987718154394</v>
      </c>
      <c r="G14" s="539"/>
      <c r="H14" s="540"/>
      <c r="I14" s="567">
        <f t="shared" ref="I14:AR14" si="20">I12/I$6</f>
        <v>0.81046216084300116</v>
      </c>
      <c r="J14" s="553">
        <f t="shared" si="20"/>
        <v>0.7558997851275886</v>
      </c>
      <c r="K14" s="568">
        <f t="shared" si="20"/>
        <v>0.76924013248180623</v>
      </c>
      <c r="L14" s="567">
        <f t="shared" si="20"/>
        <v>0.79994300439045285</v>
      </c>
      <c r="M14" s="553">
        <f t="shared" si="20"/>
        <v>0.77389525211771226</v>
      </c>
      <c r="N14" s="568">
        <f t="shared" si="20"/>
        <v>0.78964908211420459</v>
      </c>
      <c r="O14" s="567">
        <f t="shared" si="20"/>
        <v>0.75677790820443924</v>
      </c>
      <c r="P14" s="553">
        <f t="shared" si="20"/>
        <v>0.71836441058739131</v>
      </c>
      <c r="Q14" s="568">
        <f t="shared" si="20"/>
        <v>0.74122457736487235</v>
      </c>
      <c r="R14" s="567">
        <f t="shared" si="20"/>
        <v>0.63173346698091293</v>
      </c>
      <c r="S14" s="553">
        <f t="shared" si="20"/>
        <v>0.71436761369685753</v>
      </c>
      <c r="T14" s="568">
        <f t="shared" si="20"/>
        <v>0.81792414029316718</v>
      </c>
      <c r="U14" s="567">
        <f t="shared" si="20"/>
        <v>-0.39654154864110386</v>
      </c>
      <c r="V14" s="553">
        <f t="shared" si="20"/>
        <v>0.57422410210622898</v>
      </c>
      <c r="W14" s="568">
        <f t="shared" si="20"/>
        <v>0.24068762089439624</v>
      </c>
      <c r="X14" s="567">
        <f t="shared" si="20"/>
        <v>0</v>
      </c>
      <c r="Y14" s="553">
        <f t="shared" si="20"/>
        <v>0</v>
      </c>
      <c r="Z14" s="568">
        <f t="shared" si="20"/>
        <v>0</v>
      </c>
      <c r="AA14" s="567">
        <f t="shared" si="20"/>
        <v>0</v>
      </c>
      <c r="AB14" s="553">
        <f t="shared" si="20"/>
        <v>0</v>
      </c>
      <c r="AC14" s="568">
        <f t="shared" si="20"/>
        <v>0</v>
      </c>
      <c r="AD14" s="567">
        <f t="shared" si="20"/>
        <v>0</v>
      </c>
      <c r="AE14" s="553">
        <f t="shared" si="20"/>
        <v>0</v>
      </c>
      <c r="AF14" s="568">
        <f t="shared" si="20"/>
        <v>0</v>
      </c>
      <c r="AG14" s="567">
        <f t="shared" si="20"/>
        <v>0.1727329484079505</v>
      </c>
      <c r="AH14" s="553">
        <f t="shared" si="20"/>
        <v>1.135331960131593E-2</v>
      </c>
      <c r="AI14" s="568">
        <f t="shared" si="20"/>
        <v>0</v>
      </c>
      <c r="AJ14" s="567">
        <f t="shared" si="20"/>
        <v>0.630280962530539</v>
      </c>
      <c r="AK14" s="553">
        <f t="shared" si="20"/>
        <v>0.61677045926329988</v>
      </c>
      <c r="AL14" s="568">
        <f t="shared" si="20"/>
        <v>0.57844195597604064</v>
      </c>
      <c r="AM14" s="567">
        <f t="shared" si="20"/>
        <v>0.74778822981741999</v>
      </c>
      <c r="AN14" s="553">
        <f t="shared" si="20"/>
        <v>0.76473483681398369</v>
      </c>
      <c r="AO14" s="568">
        <f t="shared" si="20"/>
        <v>0.73036877118616694</v>
      </c>
      <c r="AP14" s="552">
        <f t="shared" si="20"/>
        <v>0.79631844162649423</v>
      </c>
      <c r="AQ14" s="553">
        <f t="shared" si="20"/>
        <v>0.76931148453569487</v>
      </c>
      <c r="AR14" s="553">
        <f t="shared" si="20"/>
        <v>0.78953119570357999</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69" t="s">
        <v>999</v>
      </c>
      <c r="B15" s="570" t="s">
        <v>842</v>
      </c>
      <c r="C15" s="580">
        <f>C85</f>
        <v>923216.08413461549</v>
      </c>
      <c r="D15" s="581">
        <f>D85</f>
        <v>1211197.0460000001</v>
      </c>
      <c r="E15" s="582">
        <f>D85</f>
        <v>1211197.0460000001</v>
      </c>
      <c r="F15" s="74">
        <f>E13/C13-1</f>
        <v>0.14349077944785793</v>
      </c>
      <c r="G15" s="574" t="s">
        <v>999</v>
      </c>
      <c r="H15" s="575" t="s">
        <v>842</v>
      </c>
      <c r="I15" s="576">
        <f t="shared" ref="I15:J15" si="21">I85</f>
        <v>88446.559726331368</v>
      </c>
      <c r="J15" s="305">
        <f t="shared" si="21"/>
        <v>117463</v>
      </c>
      <c r="K15" s="583">
        <f>J15</f>
        <v>117463</v>
      </c>
      <c r="L15" s="576">
        <f>K85</f>
        <v>79887.215236686388</v>
      </c>
      <c r="M15" s="305">
        <f>L85</f>
        <v>115137</v>
      </c>
      <c r="N15" s="584">
        <f>M15</f>
        <v>115137</v>
      </c>
      <c r="O15" s="578">
        <f>M85</f>
        <v>88446.559726331368</v>
      </c>
      <c r="P15" s="306">
        <f>N85</f>
        <v>97043.045999999988</v>
      </c>
      <c r="Q15" s="583">
        <f>P15</f>
        <v>97043.045999999988</v>
      </c>
      <c r="R15" s="578">
        <f>O85</f>
        <v>85593.444896449699</v>
      </c>
      <c r="S15" s="306">
        <f>P85</f>
        <v>93040</v>
      </c>
      <c r="T15" s="577">
        <f>S15</f>
        <v>93040</v>
      </c>
      <c r="U15" s="576">
        <f>Q85</f>
        <v>65128.830343934904</v>
      </c>
      <c r="V15" s="305">
        <f>R85</f>
        <v>93040</v>
      </c>
      <c r="W15" s="583">
        <f>V15</f>
        <v>93040</v>
      </c>
      <c r="X15" s="576">
        <f>S85</f>
        <v>63027.900332840225</v>
      </c>
      <c r="Y15" s="305">
        <f>T85</f>
        <v>93040</v>
      </c>
      <c r="Z15" s="583">
        <f>Y15</f>
        <v>93040</v>
      </c>
      <c r="AA15" s="576">
        <f>U85</f>
        <v>35715.810188609466</v>
      </c>
      <c r="AB15" s="305">
        <f>V85</f>
        <v>93040</v>
      </c>
      <c r="AC15" s="583">
        <f>AB15</f>
        <v>93040</v>
      </c>
      <c r="AD15" s="576">
        <f>W85</f>
        <v>65128.830343934904</v>
      </c>
      <c r="AE15" s="305">
        <f>X85</f>
        <v>93040</v>
      </c>
      <c r="AF15" s="577">
        <f>AE15</f>
        <v>93040</v>
      </c>
      <c r="AG15" s="578">
        <f>Y85</f>
        <v>77034.100406804733</v>
      </c>
      <c r="AH15" s="306">
        <f>Z85</f>
        <v>93040</v>
      </c>
      <c r="AI15" s="583">
        <f>AH15</f>
        <v>93040</v>
      </c>
      <c r="AJ15" s="578">
        <f>AA85</f>
        <v>88446.559726331368</v>
      </c>
      <c r="AK15" s="306">
        <f>AB85</f>
        <v>93040</v>
      </c>
      <c r="AL15" s="583">
        <f>AK15</f>
        <v>93040</v>
      </c>
      <c r="AM15" s="578">
        <f>AC85</f>
        <v>85593.444896449699</v>
      </c>
      <c r="AN15" s="306">
        <f>AD85</f>
        <v>118626</v>
      </c>
      <c r="AO15" s="583">
        <f>AN15</f>
        <v>118626</v>
      </c>
      <c r="AP15" s="585">
        <f>AE85</f>
        <v>88446.559726331368</v>
      </c>
      <c r="AQ15" s="305">
        <f>AF85</f>
        <v>111648</v>
      </c>
      <c r="AR15" s="306">
        <f>AQ15</f>
        <v>111648</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58" t="s">
        <v>874</v>
      </c>
      <c r="B16" s="359" t="s">
        <v>1184</v>
      </c>
      <c r="C16" s="558">
        <f>C15*0.86/1000</f>
        <v>793.96583235576941</v>
      </c>
      <c r="D16" s="664">
        <f>D86</f>
        <v>1041.442</v>
      </c>
      <c r="E16" s="1268">
        <f>D86</f>
        <v>1041.442</v>
      </c>
      <c r="F16" s="74"/>
      <c r="G16" s="539" t="s">
        <v>874</v>
      </c>
      <c r="H16" s="540" t="s">
        <v>1184</v>
      </c>
      <c r="I16" s="561">
        <f>I15*0.86/1000</f>
        <v>76.064041364644979</v>
      </c>
      <c r="J16" s="95">
        <f>J86</f>
        <v>101</v>
      </c>
      <c r="K16" s="586">
        <f>J16</f>
        <v>101</v>
      </c>
      <c r="L16" s="561">
        <f>L15*0.86/1000</f>
        <v>68.703005103550296</v>
      </c>
      <c r="M16" s="95">
        <f>L86</f>
        <v>99</v>
      </c>
      <c r="N16" s="587">
        <f>M16</f>
        <v>99</v>
      </c>
      <c r="O16" s="561">
        <f>O15*0.86/1000</f>
        <v>76.064041364644979</v>
      </c>
      <c r="P16" s="95">
        <f>N86</f>
        <v>83.441999999999993</v>
      </c>
      <c r="Q16" s="586">
        <f>P16</f>
        <v>83.441999999999993</v>
      </c>
      <c r="R16" s="561">
        <f>R15*0.86/1000</f>
        <v>73.610362610946737</v>
      </c>
      <c r="S16" s="95">
        <f>P86</f>
        <v>80</v>
      </c>
      <c r="T16" s="586">
        <f>S16</f>
        <v>80</v>
      </c>
      <c r="U16" s="561">
        <f>U15*0.86/1000</f>
        <v>56.010794095784021</v>
      </c>
      <c r="V16" s="95">
        <f>R86</f>
        <v>80</v>
      </c>
      <c r="W16" s="586">
        <f>V16</f>
        <v>80</v>
      </c>
      <c r="X16" s="561">
        <f>X15*0.86/1000</f>
        <v>54.203994286242597</v>
      </c>
      <c r="Y16" s="95">
        <f>T86</f>
        <v>80</v>
      </c>
      <c r="Z16" s="586">
        <f>Y16</f>
        <v>80</v>
      </c>
      <c r="AA16" s="561">
        <f>AA15*0.86/1000</f>
        <v>30.715596762204139</v>
      </c>
      <c r="AB16" s="95">
        <f>V86</f>
        <v>80</v>
      </c>
      <c r="AC16" s="586">
        <f>AB16</f>
        <v>80</v>
      </c>
      <c r="AD16" s="561">
        <f>AD15*0.86/1000</f>
        <v>56.010794095784021</v>
      </c>
      <c r="AE16" s="95">
        <f>X86</f>
        <v>80</v>
      </c>
      <c r="AF16" s="586">
        <f>AE16</f>
        <v>80</v>
      </c>
      <c r="AG16" s="561">
        <f>AG15*0.86/1000</f>
        <v>66.249326349852069</v>
      </c>
      <c r="AH16" s="95">
        <f>Z86</f>
        <v>80</v>
      </c>
      <c r="AI16" s="586">
        <f>AH16</f>
        <v>80</v>
      </c>
      <c r="AJ16" s="561">
        <f>AJ15*0.86/1000</f>
        <v>76.064041364644979</v>
      </c>
      <c r="AK16" s="95">
        <f>AB86</f>
        <v>80</v>
      </c>
      <c r="AL16" s="586">
        <f>AK16</f>
        <v>80</v>
      </c>
      <c r="AM16" s="561">
        <f>AM15*0.86/1000</f>
        <v>73.610362610946737</v>
      </c>
      <c r="AN16" s="95">
        <f>AD86</f>
        <v>102</v>
      </c>
      <c r="AO16" s="586">
        <f>AN16</f>
        <v>102</v>
      </c>
      <c r="AP16" s="563">
        <f>AP15*0.86/1000</f>
        <v>76.064041364644979</v>
      </c>
      <c r="AQ16" s="95">
        <f>AF86</f>
        <v>96</v>
      </c>
      <c r="AR16" s="95">
        <f>AQ16</f>
        <v>96</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5" t="s">
        <v>874</v>
      </c>
      <c r="B17" s="386" t="s">
        <v>1181</v>
      </c>
      <c r="C17" s="588">
        <f>C15/$C$6</f>
        <v>0.26941686206708843</v>
      </c>
      <c r="D17" s="589">
        <f>D15/$D$6</f>
        <v>0.32011100535857884</v>
      </c>
      <c r="E17" s="590"/>
      <c r="F17" s="74"/>
      <c r="G17" s="544"/>
      <c r="H17" s="545"/>
      <c r="I17" s="546">
        <f t="shared" ref="I17:AR17" si="22">I15/I$6</f>
        <v>0.15942572389047949</v>
      </c>
      <c r="J17" s="547">
        <f t="shared" si="22"/>
        <v>0.21627727563140636</v>
      </c>
      <c r="K17" s="548">
        <f t="shared" si="22"/>
        <v>0.20445748275144132</v>
      </c>
      <c r="L17" s="546">
        <f t="shared" si="22"/>
        <v>0.16545728787609476</v>
      </c>
      <c r="M17" s="547">
        <f t="shared" si="22"/>
        <v>0.22015985620590092</v>
      </c>
      <c r="N17" s="591">
        <f t="shared" si="22"/>
        <v>0.20482023605548455</v>
      </c>
      <c r="O17" s="546">
        <f t="shared" si="22"/>
        <v>0.20458109168663094</v>
      </c>
      <c r="P17" s="547">
        <f t="shared" si="22"/>
        <v>0.2429034215722736</v>
      </c>
      <c r="Q17" s="548">
        <f t="shared" si="22"/>
        <v>0.22318711817629955</v>
      </c>
      <c r="R17" s="546">
        <f t="shared" si="22"/>
        <v>0.30812780990505373</v>
      </c>
      <c r="S17" s="547">
        <f t="shared" si="22"/>
        <v>0.25399737375888265</v>
      </c>
      <c r="T17" s="548">
        <f t="shared" si="22"/>
        <v>0.16191017688499948</v>
      </c>
      <c r="U17" s="546">
        <f t="shared" si="22"/>
        <v>1.11145202710685</v>
      </c>
      <c r="V17" s="547">
        <f t="shared" si="22"/>
        <v>0.3828160680708193</v>
      </c>
      <c r="W17" s="548">
        <f t="shared" si="22"/>
        <v>0.68269946900383038</v>
      </c>
      <c r="X17" s="546">
        <f t="shared" si="22"/>
        <v>0.79048138324515216</v>
      </c>
      <c r="Y17" s="547">
        <f t="shared" si="22"/>
        <v>0.91968566203726587</v>
      </c>
      <c r="Z17" s="548">
        <f t="shared" si="22"/>
        <v>0.91968566203726587</v>
      </c>
      <c r="AA17" s="546">
        <f t="shared" si="22"/>
        <v>0.68132018270322214</v>
      </c>
      <c r="AB17" s="547">
        <f t="shared" si="22"/>
        <v>0.92169915993025842</v>
      </c>
      <c r="AC17" s="548">
        <f t="shared" si="22"/>
        <v>0.92169915993025842</v>
      </c>
      <c r="AD17" s="546">
        <f t="shared" si="22"/>
        <v>0.7958603366926974</v>
      </c>
      <c r="AE17" s="547">
        <f t="shared" si="22"/>
        <v>0.91669540371446867</v>
      </c>
      <c r="AF17" s="548">
        <f t="shared" si="22"/>
        <v>0.91669540371446867</v>
      </c>
      <c r="AG17" s="546">
        <f t="shared" si="22"/>
        <v>0.67983711828123783</v>
      </c>
      <c r="AH17" s="547">
        <f t="shared" si="22"/>
        <v>0.90826556810527448</v>
      </c>
      <c r="AI17" s="548">
        <f t="shared" si="22"/>
        <v>0.91869581531291344</v>
      </c>
      <c r="AJ17" s="546">
        <f t="shared" si="22"/>
        <v>0.3109813082538963</v>
      </c>
      <c r="AK17" s="547">
        <f t="shared" si="22"/>
        <v>0.35244026243617133</v>
      </c>
      <c r="AL17" s="548">
        <f t="shared" si="22"/>
        <v>0.38768939206062375</v>
      </c>
      <c r="AM17" s="546">
        <f t="shared" si="22"/>
        <v>0.21102504140556058</v>
      </c>
      <c r="AN17" s="547">
        <f t="shared" si="22"/>
        <v>0.22286558101436096</v>
      </c>
      <c r="AO17" s="548">
        <f t="shared" si="22"/>
        <v>0.25542039312339099</v>
      </c>
      <c r="AP17" s="549">
        <f t="shared" si="22"/>
        <v>0.171322412618304</v>
      </c>
      <c r="AQ17" s="550">
        <f t="shared" si="22"/>
        <v>0.22045941049381107</v>
      </c>
      <c r="AR17" s="550">
        <f t="shared" si="22"/>
        <v>0.20113627429236122</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2" t="s">
        <v>1188</v>
      </c>
      <c r="B18" s="592" t="s">
        <v>842</v>
      </c>
      <c r="C18" s="593">
        <f>C100</f>
        <v>200468</v>
      </c>
      <c r="D18" s="594">
        <f>D100</f>
        <v>108349.35999999997</v>
      </c>
      <c r="E18" s="595">
        <f>D100</f>
        <v>108349.35999999997</v>
      </c>
      <c r="F18" s="74"/>
      <c r="G18" s="527" t="s">
        <v>1186</v>
      </c>
      <c r="H18" s="528" t="s">
        <v>842</v>
      </c>
      <c r="I18" s="327">
        <f>I100</f>
        <v>16705.666666666664</v>
      </c>
      <c r="J18" s="596">
        <f>J100</f>
        <v>15111</v>
      </c>
      <c r="K18" s="597">
        <f>J18</f>
        <v>15111</v>
      </c>
      <c r="L18" s="327">
        <f>K100</f>
        <v>16705.666666666664</v>
      </c>
      <c r="M18" s="596">
        <f>L100</f>
        <v>3109</v>
      </c>
      <c r="N18" s="597">
        <f>M18</f>
        <v>3109</v>
      </c>
      <c r="O18" s="327">
        <f>M100</f>
        <v>16705.666666666664</v>
      </c>
      <c r="P18" s="596">
        <f>N100</f>
        <v>15474</v>
      </c>
      <c r="Q18" s="597">
        <f>P18</f>
        <v>15474</v>
      </c>
      <c r="R18" s="327">
        <f>O100</f>
        <v>16705.666666666664</v>
      </c>
      <c r="S18" s="596">
        <f>P100</f>
        <v>11588</v>
      </c>
      <c r="T18" s="597">
        <f>S18</f>
        <v>11588</v>
      </c>
      <c r="U18" s="327">
        <f>Q100</f>
        <v>16705.666666666664</v>
      </c>
      <c r="V18" s="596">
        <f>R100</f>
        <v>10440.999999999998</v>
      </c>
      <c r="W18" s="597">
        <f>V18</f>
        <v>10440.999999999998</v>
      </c>
      <c r="X18" s="327">
        <f>S100</f>
        <v>16705.666666666664</v>
      </c>
      <c r="Y18" s="596">
        <f>T100</f>
        <v>8125</v>
      </c>
      <c r="Z18" s="597">
        <f>Y18</f>
        <v>8125</v>
      </c>
      <c r="AA18" s="327">
        <f>U100</f>
        <v>16705.666666666664</v>
      </c>
      <c r="AB18" s="596">
        <f>V100</f>
        <v>7904</v>
      </c>
      <c r="AC18" s="597">
        <f>AB18</f>
        <v>7904</v>
      </c>
      <c r="AD18" s="327">
        <f>W100</f>
        <v>16705.666666666664</v>
      </c>
      <c r="AE18" s="596">
        <f>X100</f>
        <v>8455</v>
      </c>
      <c r="AF18" s="597">
        <f>AE18</f>
        <v>8455</v>
      </c>
      <c r="AG18" s="327">
        <f>Y100</f>
        <v>16705.666666666664</v>
      </c>
      <c r="AH18" s="596">
        <f>Z100</f>
        <v>8233.9999999999982</v>
      </c>
      <c r="AI18" s="597">
        <f>AH18</f>
        <v>8233.9999999999982</v>
      </c>
      <c r="AJ18" s="327">
        <f>AA100</f>
        <v>16705.666666666664</v>
      </c>
      <c r="AK18" s="596">
        <f>AB100</f>
        <v>8128</v>
      </c>
      <c r="AL18" s="597">
        <f>AK18</f>
        <v>8128</v>
      </c>
      <c r="AM18" s="327">
        <f>AC100</f>
        <v>16705.666666666664</v>
      </c>
      <c r="AN18" s="596">
        <f>AD100</f>
        <v>6600</v>
      </c>
      <c r="AO18" s="597">
        <f>AN18</f>
        <v>6600</v>
      </c>
      <c r="AP18" s="327">
        <f>AE100</f>
        <v>16705.666666666664</v>
      </c>
      <c r="AQ18" s="596">
        <f>AF100</f>
        <v>5180.3600000000006</v>
      </c>
      <c r="AR18" s="597">
        <f>AQ18</f>
        <v>5180.3600000000006</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5" t="s">
        <v>874</v>
      </c>
      <c r="B19" s="598" t="s">
        <v>1181</v>
      </c>
      <c r="C19" s="588">
        <f>C18/$C$6</f>
        <v>5.8501428249586138E-2</v>
      </c>
      <c r="D19" s="589">
        <f>D18/$D$6</f>
        <v>2.8635986748896492E-2</v>
      </c>
      <c r="E19" s="599">
        <f>E18/$E$6</f>
        <v>2.7409078294691212E-2</v>
      </c>
      <c r="F19" s="74"/>
      <c r="G19" s="600"/>
      <c r="H19" s="545"/>
      <c r="I19" s="546">
        <f>I18/$C$6</f>
        <v>4.8751190207988442E-3</v>
      </c>
      <c r="J19" s="601"/>
      <c r="K19" s="602"/>
      <c r="L19" s="546">
        <f>L18/$C$6</f>
        <v>4.8751190207988442E-3</v>
      </c>
      <c r="M19" s="601"/>
      <c r="N19" s="602"/>
      <c r="O19" s="546">
        <f>O18/$C$6</f>
        <v>4.8751190207988442E-3</v>
      </c>
      <c r="P19" s="601"/>
      <c r="Q19" s="602"/>
      <c r="R19" s="546">
        <f>R18/$C$6</f>
        <v>4.8751190207988442E-3</v>
      </c>
      <c r="S19" s="601"/>
      <c r="T19" s="602"/>
      <c r="U19" s="546">
        <f>U18/$C$6</f>
        <v>4.8751190207988442E-3</v>
      </c>
      <c r="V19" s="601"/>
      <c r="W19" s="602"/>
      <c r="X19" s="546">
        <f>X18/$C$6</f>
        <v>4.8751190207988442E-3</v>
      </c>
      <c r="Y19" s="601"/>
      <c r="Z19" s="602"/>
      <c r="AA19" s="546">
        <f>AA18/$C$6</f>
        <v>4.8751190207988442E-3</v>
      </c>
      <c r="AB19" s="601"/>
      <c r="AC19" s="602"/>
      <c r="AD19" s="546">
        <f>AD18/$C$6</f>
        <v>4.8751190207988442E-3</v>
      </c>
      <c r="AE19" s="601"/>
      <c r="AF19" s="602"/>
      <c r="AG19" s="546">
        <f>AG18/$C$6</f>
        <v>4.8751190207988442E-3</v>
      </c>
      <c r="AH19" s="601"/>
      <c r="AI19" s="602"/>
      <c r="AJ19" s="546">
        <f>AJ18/$C$6</f>
        <v>4.8751190207988442E-3</v>
      </c>
      <c r="AK19" s="601"/>
      <c r="AL19" s="602"/>
      <c r="AM19" s="546">
        <f>AM18/$C$6</f>
        <v>4.8751190207988442E-3</v>
      </c>
      <c r="AN19" s="601"/>
      <c r="AO19" s="602"/>
      <c r="AP19" s="546">
        <f>AP18/$C$6</f>
        <v>4.8751190207988442E-3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3" t="s">
        <v>1187</v>
      </c>
      <c r="B20" s="604" t="s">
        <v>842</v>
      </c>
      <c r="C20" s="605"/>
      <c r="D20" s="572">
        <f>D6-C6</f>
        <v>356958.48492435645</v>
      </c>
      <c r="E20" s="606">
        <f>E6-C6</f>
        <v>526326.70567191439</v>
      </c>
      <c r="F20" s="74"/>
      <c r="G20" s="344" t="s">
        <v>1187</v>
      </c>
      <c r="H20" s="326" t="s">
        <v>842</v>
      </c>
      <c r="I20" s="373"/>
      <c r="J20" s="607">
        <f>J6-I6</f>
        <v>-11669.236943715601</v>
      </c>
      <c r="K20" s="608">
        <f>K6-I6</f>
        <v>19728.406634928077</v>
      </c>
      <c r="L20" s="373"/>
      <c r="M20" s="607">
        <f>M6-L6</f>
        <v>40143.185526217741</v>
      </c>
      <c r="N20" s="608">
        <f>N6-L6</f>
        <v>79310.024235895311</v>
      </c>
      <c r="O20" s="373"/>
      <c r="P20" s="607">
        <f>P6-O6</f>
        <v>-32817.197955826239</v>
      </c>
      <c r="Q20" s="608">
        <f>Q6-O6</f>
        <v>2475.6865819357336</v>
      </c>
      <c r="R20" s="373"/>
      <c r="S20" s="607">
        <f>S6-R6</f>
        <v>88517.476769155008</v>
      </c>
      <c r="T20" s="609">
        <f>T6-R6</f>
        <v>296854.08120911464</v>
      </c>
      <c r="U20" s="373"/>
      <c r="V20" s="610">
        <f>V6-U6</f>
        <v>184443.03197661386</v>
      </c>
      <c r="W20" s="608">
        <f>W6-U6</f>
        <v>77684.546061120898</v>
      </c>
      <c r="X20" s="611"/>
      <c r="Y20" s="607">
        <f>Y6-X6</f>
        <v>21431.433000493111</v>
      </c>
      <c r="Z20" s="608">
        <f>Z6-X6</f>
        <v>21431.433000493111</v>
      </c>
      <c r="AA20" s="373"/>
      <c r="AB20" s="607">
        <f>AB6-AA6</f>
        <v>48522.523144723869</v>
      </c>
      <c r="AC20" s="612">
        <f>AC6-AA6</f>
        <v>48522.523144723869</v>
      </c>
      <c r="AD20" s="373"/>
      <c r="AE20" s="607">
        <f>AE6-AD6</f>
        <v>19660.502989398432</v>
      </c>
      <c r="AF20" s="612">
        <f>AF6-AD6</f>
        <v>19660.502989398432</v>
      </c>
      <c r="AG20" s="373"/>
      <c r="AH20" s="610">
        <f>AH6-AG6</f>
        <v>-10875.583757653774</v>
      </c>
      <c r="AI20" s="608">
        <f>AI6-AG6</f>
        <v>-12038.583757653774</v>
      </c>
      <c r="AJ20" s="373"/>
      <c r="AK20" s="610">
        <f>AK6-AJ6</f>
        <v>-20423.176423891098</v>
      </c>
      <c r="AL20" s="608">
        <f>AL6-AJ6</f>
        <v>-44425.244630711793</v>
      </c>
      <c r="AM20" s="374"/>
      <c r="AN20" s="607">
        <f>AN6-AM6</f>
        <v>126668.0004642905</v>
      </c>
      <c r="AO20" s="608">
        <f>AO6-AM6</f>
        <v>58826.333797623811</v>
      </c>
      <c r="AP20" s="373"/>
      <c r="AQ20" s="607">
        <f>AQ6-AP6</f>
        <v>-9824.6028351660934</v>
      </c>
      <c r="AR20" s="608">
        <f>AR6-AP6</f>
        <v>38828.385426979221</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58" t="s">
        <v>874</v>
      </c>
      <c r="B21" s="359" t="s">
        <v>1180</v>
      </c>
      <c r="C21" s="378"/>
      <c r="D21" s="613">
        <f>D20*0.123/1000</f>
        <v>43.905893645695841</v>
      </c>
      <c r="E21" s="613">
        <f>E20*0.123/1000</f>
        <v>64.738184797645459</v>
      </c>
      <c r="F21" s="74"/>
      <c r="G21" s="539" t="s">
        <v>874</v>
      </c>
      <c r="H21" s="540" t="s">
        <v>1180</v>
      </c>
      <c r="I21" s="614"/>
      <c r="J21" s="313">
        <f>J20*0.123/1000</f>
        <v>-1.4353161440770188</v>
      </c>
      <c r="K21" s="615">
        <f>K20*0.123/1000</f>
        <v>2.426594016096153</v>
      </c>
      <c r="L21" s="614"/>
      <c r="M21" s="313">
        <f>M20*0.123/1000</f>
        <v>4.9376118197247827</v>
      </c>
      <c r="N21" s="615">
        <f>N20*0.123/1000</f>
        <v>9.7551329810151231</v>
      </c>
      <c r="O21" s="614"/>
      <c r="P21" s="313">
        <f>P20*0.123/1000</f>
        <v>-4.0365153485666276</v>
      </c>
      <c r="Q21" s="615">
        <f>Q20*0.123/1000</f>
        <v>0.30450944957809523</v>
      </c>
      <c r="R21" s="614"/>
      <c r="S21" s="313">
        <f>S20*0.123/1000</f>
        <v>10.887649642606066</v>
      </c>
      <c r="T21" s="616">
        <f>T20*0.123/1000</f>
        <v>36.513051988721095</v>
      </c>
      <c r="U21" s="614"/>
      <c r="V21" s="313">
        <f>V20*0.123/1000</f>
        <v>22.686492933123503</v>
      </c>
      <c r="W21" s="615">
        <f>W20*0.123/1000</f>
        <v>9.5551991655178696</v>
      </c>
      <c r="X21" s="617"/>
      <c r="Y21" s="313">
        <f>Y20*0.123/1000</f>
        <v>2.6360662590606525</v>
      </c>
      <c r="Z21" s="615">
        <f>Z20*0.123/1000</f>
        <v>2.6360662590606525</v>
      </c>
      <c r="AA21" s="614"/>
      <c r="AB21" s="313">
        <f>AB20*0.123/1000</f>
        <v>5.9682703468010363</v>
      </c>
      <c r="AC21" s="615">
        <f>AC20*0.123/1000</f>
        <v>5.9682703468010363</v>
      </c>
      <c r="AD21" s="614"/>
      <c r="AE21" s="313">
        <f>AE20*0.123/1000</f>
        <v>2.4182418676960071</v>
      </c>
      <c r="AF21" s="615">
        <f>AF20*0.123/1000</f>
        <v>2.4182418676960071</v>
      </c>
      <c r="AG21" s="614"/>
      <c r="AH21" s="313">
        <f>AH20*0.123/1000</f>
        <v>-1.3376968021914142</v>
      </c>
      <c r="AI21" s="615">
        <f>AI20*0.123/1000</f>
        <v>-1.4807458021914142</v>
      </c>
      <c r="AJ21" s="614"/>
      <c r="AK21" s="313">
        <f>AK20*0.123/1000</f>
        <v>-2.5120507001386048</v>
      </c>
      <c r="AL21" s="615">
        <f>AL20*0.123/1000</f>
        <v>-5.4643050895775502</v>
      </c>
      <c r="AM21" s="618"/>
      <c r="AN21" s="313">
        <f>AN20*0.123/1000</f>
        <v>15.580164057107732</v>
      </c>
      <c r="AO21" s="615">
        <f>AO20*0.123/1000</f>
        <v>7.2356390571077291</v>
      </c>
      <c r="AP21" s="614"/>
      <c r="AQ21" s="313">
        <f>AQ20*0.123/1000</f>
        <v>-1.2084261487254295</v>
      </c>
      <c r="AR21" s="619">
        <f>AR20*0.123/1000</f>
        <v>4.7758914075184435</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5" t="s">
        <v>874</v>
      </c>
      <c r="B22" s="359" t="s">
        <v>1181</v>
      </c>
      <c r="C22" s="620"/>
      <c r="D22" s="621">
        <f>(D20/C6)*100</f>
        <v>10.416915015804625</v>
      </c>
      <c r="E22" s="621">
        <f>(E20/C6)*100</f>
        <v>15.359490795392054</v>
      </c>
      <c r="F22" s="74"/>
      <c r="G22" s="544" t="s">
        <v>874</v>
      </c>
      <c r="H22" s="545" t="s">
        <v>1181</v>
      </c>
      <c r="I22" s="622"/>
      <c r="J22" s="623">
        <f>(J20/I6)*100</f>
        <v>-2.1033905137268269</v>
      </c>
      <c r="K22" s="624">
        <f>(K20/I6)*100</f>
        <v>3.5560631399468514</v>
      </c>
      <c r="L22" s="622"/>
      <c r="M22" s="623">
        <f>(M20/L6)*100</f>
        <v>8.3141996928999351</v>
      </c>
      <c r="N22" s="624">
        <f>(N20/L6)*100</f>
        <v>16.426184681215936</v>
      </c>
      <c r="O22" s="622"/>
      <c r="P22" s="623">
        <f>(P20/O6)*100</f>
        <v>-7.5907736882845089</v>
      </c>
      <c r="Q22" s="624">
        <f>(Q20/O6)*100</f>
        <v>0.57263805983351646</v>
      </c>
      <c r="R22" s="622"/>
      <c r="S22" s="623">
        <f>(S20/R6)*100</f>
        <v>31.865403113752379</v>
      </c>
      <c r="T22" s="625">
        <f>(T20/R6)*100</f>
        <v>106.86448946528553</v>
      </c>
      <c r="U22" s="620"/>
      <c r="V22" s="621">
        <f>(V20/U6)*100</f>
        <v>314.76011574838839</v>
      </c>
      <c r="W22" s="626">
        <f>(W20/U6)*100</f>
        <v>132.57208173177168</v>
      </c>
      <c r="X22" s="627"/>
      <c r="Y22" s="628">
        <f>(Y20/X6)*100</f>
        <v>26.878808771499781</v>
      </c>
      <c r="Z22" s="629">
        <f>(Z20/X6)*100</f>
        <v>26.878808771499781</v>
      </c>
      <c r="AA22" s="622"/>
      <c r="AB22" s="623">
        <f>(AB20/AA6)*100</f>
        <v>92.562297088049633</v>
      </c>
      <c r="AC22" s="624">
        <f>(AC20/AA6)*100</f>
        <v>92.562297088049633</v>
      </c>
      <c r="AD22" s="622"/>
      <c r="AE22" s="623">
        <f>(AE20/AD6)*100</f>
        <v>24.024712935977888</v>
      </c>
      <c r="AF22" s="624">
        <f>(AF20/AD6)*100</f>
        <v>24.024712935977888</v>
      </c>
      <c r="AG22" s="622"/>
      <c r="AH22" s="623">
        <f>(AH20/AG6)*100</f>
        <v>-9.5978605349903816</v>
      </c>
      <c r="AI22" s="624">
        <f>(AI20/AG6)*100</f>
        <v>-10.624224916979372</v>
      </c>
      <c r="AJ22" s="622"/>
      <c r="AK22" s="623">
        <f>(AK20/AJ6)*100</f>
        <v>-7.1808628200503835</v>
      </c>
      <c r="AL22" s="624">
        <f>(AL20/AJ6)*100</f>
        <v>-15.620076956645217</v>
      </c>
      <c r="AM22" s="630"/>
      <c r="AN22" s="628">
        <f>(AN20/AM6)*100</f>
        <v>31.229167227787556</v>
      </c>
      <c r="AO22" s="629">
        <f>(AO20/AM6)*100</f>
        <v>14.503247930258034</v>
      </c>
      <c r="AP22" s="622"/>
      <c r="AQ22" s="623">
        <f>(AQ20/AP6)*100</f>
        <v>-1.9030414138721869</v>
      </c>
      <c r="AR22" s="624">
        <f>(AR20/AP6)*100</f>
        <v>7.5211208779701817</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1" t="s">
        <v>1189</v>
      </c>
      <c r="B23" s="523" t="s">
        <v>1346</v>
      </c>
      <c r="C23" s="524">
        <f>C6/('Ввод исходных данных'!$G$45+'Ввод исходных данных'!$D$23)</f>
        <v>271.31589525539539</v>
      </c>
      <c r="D23" s="632">
        <f>D6/('Ввод исходных данных'!$G$45+'Ввод исходных данных'!$D$23)</f>
        <v>299.57864148851939</v>
      </c>
      <c r="E23" s="556">
        <f>E6/('Ввод исходных данных'!$G$45+'Ввод исходных данных'!$D$23)</f>
        <v>312.98863521358339</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5" t="s">
        <v>874</v>
      </c>
      <c r="B24" s="386" t="s">
        <v>1191</v>
      </c>
      <c r="C24" s="636">
        <f>C7*1000/('Ввод исходных данных'!$G$45+'Ввод исходных данных'!$G$23)</f>
        <v>33.371855116413627</v>
      </c>
      <c r="D24" s="637">
        <f>0.123*D23</f>
        <v>36.848172903087885</v>
      </c>
      <c r="E24" s="638">
        <f>0.123*E23</f>
        <v>38.49760213127076</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2303035.6729410281</v>
      </c>
      <c r="C27" s="317">
        <f>C15</f>
        <v>923216.08413461549</v>
      </c>
      <c r="D27" s="317">
        <f>C18</f>
        <v>200468</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2464131.8360000001</v>
      </c>
      <c r="C28" s="317">
        <f>D15</f>
        <v>1211197.0460000001</v>
      </c>
      <c r="D28" s="317">
        <f>D18</f>
        <v>108349.35999999997</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2633500.0567475581</v>
      </c>
      <c r="C29" s="317">
        <f>E15</f>
        <v>1211197.0460000001</v>
      </c>
      <c r="D29" s="317">
        <f>E18</f>
        <v>108349.35999999997</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796" t="s">
        <v>1192</v>
      </c>
      <c r="B32" s="1796"/>
      <c r="C32" s="1796"/>
      <c r="D32" s="1796"/>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766" t="s">
        <v>834</v>
      </c>
      <c r="B33" s="1776" t="s">
        <v>1174</v>
      </c>
      <c r="C33" s="1774" t="s">
        <v>1175</v>
      </c>
      <c r="D33" s="1772" t="s">
        <v>1176</v>
      </c>
      <c r="E33" s="1770" t="s">
        <v>1177</v>
      </c>
      <c r="F33" s="74"/>
      <c r="G33" s="1768" t="s">
        <v>834</v>
      </c>
      <c r="H33" s="1762" t="s">
        <v>1174</v>
      </c>
      <c r="I33" s="1803" t="s">
        <v>488</v>
      </c>
      <c r="J33" s="1804"/>
      <c r="K33" s="1805"/>
      <c r="L33" s="1803" t="s">
        <v>489</v>
      </c>
      <c r="M33" s="1804"/>
      <c r="N33" s="1805"/>
      <c r="O33" s="1803" t="s">
        <v>490</v>
      </c>
      <c r="P33" s="1804"/>
      <c r="Q33" s="1805"/>
      <c r="R33" s="1803" t="s">
        <v>491</v>
      </c>
      <c r="S33" s="1804"/>
      <c r="T33" s="1805"/>
      <c r="U33" s="1803" t="s">
        <v>805</v>
      </c>
      <c r="V33" s="1804"/>
      <c r="W33" s="1805"/>
      <c r="X33" s="1803" t="s">
        <v>806</v>
      </c>
      <c r="Y33" s="1804"/>
      <c r="Z33" s="1805"/>
      <c r="AA33" s="1803" t="s">
        <v>807</v>
      </c>
      <c r="AB33" s="1804"/>
      <c r="AC33" s="1805"/>
      <c r="AD33" s="1803" t="s">
        <v>808</v>
      </c>
      <c r="AE33" s="1804"/>
      <c r="AF33" s="1805"/>
      <c r="AG33" s="1803" t="s">
        <v>809</v>
      </c>
      <c r="AH33" s="1804"/>
      <c r="AI33" s="1805"/>
      <c r="AJ33" s="1803" t="s">
        <v>482</v>
      </c>
      <c r="AK33" s="1804"/>
      <c r="AL33" s="1805"/>
      <c r="AM33" s="1803" t="s">
        <v>486</v>
      </c>
      <c r="AN33" s="1804"/>
      <c r="AO33" s="1805"/>
      <c r="AP33" s="1803" t="s">
        <v>487</v>
      </c>
      <c r="AQ33" s="1804"/>
      <c r="AR33" s="1805"/>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767"/>
      <c r="B34" s="1777"/>
      <c r="C34" s="1775"/>
      <c r="D34" s="1773"/>
      <c r="E34" s="1771"/>
      <c r="F34" s="74"/>
      <c r="G34" s="1769"/>
      <c r="H34" s="1763"/>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49" t="s">
        <v>1194</v>
      </c>
      <c r="B35" s="650" t="s">
        <v>842</v>
      </c>
      <c r="C35" s="324">
        <f>C38+C62+C65+C68-C71</f>
        <v>2303035.6729410281</v>
      </c>
      <c r="D35" s="323">
        <f>D36*1163</f>
        <v>2464131.8360000001</v>
      </c>
      <c r="E35" s="651">
        <f>D35*'Ввод исходных данных'!$H$264</f>
        <v>2633500.0567475581</v>
      </c>
      <c r="F35" s="652"/>
      <c r="G35" s="527" t="s">
        <v>1192</v>
      </c>
      <c r="H35" s="528" t="s">
        <v>842</v>
      </c>
      <c r="I35" s="327">
        <f>I38+I62+I65+I68-I71</f>
        <v>449630.01055071759</v>
      </c>
      <c r="J35" s="529">
        <f>J36*1163</f>
        <v>410539</v>
      </c>
      <c r="K35" s="653">
        <f>K36*1163</f>
        <v>441936.64357864362</v>
      </c>
      <c r="L35" s="328">
        <f>L38+L62+L65+L68-L71</f>
        <v>386233.93257042917</v>
      </c>
      <c r="M35" s="529">
        <f>M36*1163</f>
        <v>404724</v>
      </c>
      <c r="N35" s="653">
        <f>N36*1163</f>
        <v>443890.83870967757</v>
      </c>
      <c r="O35" s="327">
        <f>O38+O62+O65+O68-O71</f>
        <v>327177.85356282815</v>
      </c>
      <c r="P35" s="529">
        <f>P36*1163</f>
        <v>286995.83600000001</v>
      </c>
      <c r="Q35" s="654">
        <f>Q36*1163</f>
        <v>322288.72053776198</v>
      </c>
      <c r="R35" s="328">
        <f>R38+R62+R65+R68-R71</f>
        <v>175486.41166772862</v>
      </c>
      <c r="S35" s="653">
        <f>S36*1163</f>
        <v>261675</v>
      </c>
      <c r="T35" s="653">
        <f>T36*1163</f>
        <v>470011.60443995963</v>
      </c>
      <c r="U35" s="327">
        <f>U38+U62+U65+U68-U71</f>
        <v>-23236.528987215424</v>
      </c>
      <c r="V35" s="529">
        <f>V36*1163</f>
        <v>139560</v>
      </c>
      <c r="W35" s="655">
        <f>W36*1163</f>
        <v>32801.514084507049</v>
      </c>
      <c r="X35" s="327">
        <f>X38+X62+X65+X68-X71</f>
        <v>0</v>
      </c>
      <c r="Y35" s="529">
        <f>Y36*1163</f>
        <v>0</v>
      </c>
      <c r="Z35" s="656">
        <f>Z36*1163</f>
        <v>0</v>
      </c>
      <c r="AA35" s="327">
        <f>AA38+AA62+AA65+AA68-AA71</f>
        <v>0</v>
      </c>
      <c r="AB35" s="529">
        <f>AB36*1163</f>
        <v>0</v>
      </c>
      <c r="AC35" s="656">
        <f>AC36*1163</f>
        <v>0</v>
      </c>
      <c r="AD35" s="327">
        <f>AD38+AD62+AD65+AD68-AD71</f>
        <v>0</v>
      </c>
      <c r="AE35" s="529">
        <f>AE36*1163</f>
        <v>0</v>
      </c>
      <c r="AF35" s="656">
        <f>AF36*1163</f>
        <v>0</v>
      </c>
      <c r="AG35" s="327">
        <f>AG38+AG62+AG65+AG68-AG71</f>
        <v>19572.81668418238</v>
      </c>
      <c r="AH35" s="529">
        <f>AH36*1163</f>
        <v>1163</v>
      </c>
      <c r="AI35" s="656">
        <f>AI36*1163</f>
        <v>0</v>
      </c>
      <c r="AJ35" s="327">
        <f>AJ38+AJ62+AJ65+AJ68-AJ71</f>
        <v>179258.95003089303</v>
      </c>
      <c r="AK35" s="529">
        <f>AK36*1163</f>
        <v>162820</v>
      </c>
      <c r="AL35" s="654">
        <f>AL36*1163</f>
        <v>138817.9317931793</v>
      </c>
      <c r="AM35" s="327">
        <f>AM38+AM62+AM65+AM68-AM71</f>
        <v>303308.88797259313</v>
      </c>
      <c r="AN35" s="529">
        <f>AN36*1163</f>
        <v>407050</v>
      </c>
      <c r="AO35" s="654">
        <f>AO36*1163</f>
        <v>339208.33333333331</v>
      </c>
      <c r="AP35" s="327">
        <f>AP38+AP62+AP65+AP68-AP71</f>
        <v>411105.73644216801</v>
      </c>
      <c r="AQ35" s="529">
        <f>AQ36*1163</f>
        <v>389605</v>
      </c>
      <c r="AR35" s="656">
        <f>AR36*1163</f>
        <v>438257.98826214537</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58" t="s">
        <v>874</v>
      </c>
      <c r="B36" s="359" t="s">
        <v>1184</v>
      </c>
      <c r="C36" s="658">
        <f>0.86*C35/1000</f>
        <v>1980.610678729284</v>
      </c>
      <c r="D36" s="559">
        <f>'Ввод исходных данных'!J198</f>
        <v>2118.7719999999999</v>
      </c>
      <c r="E36" s="659">
        <f>0.86*E35/1000</f>
        <v>2264.8100488028999</v>
      </c>
      <c r="F36" s="660"/>
      <c r="G36" s="379" t="s">
        <v>874</v>
      </c>
      <c r="H36" s="380" t="s">
        <v>1184</v>
      </c>
      <c r="I36" s="661">
        <f>0.86*I35/1000</f>
        <v>386.6818090736171</v>
      </c>
      <c r="J36" s="662">
        <f>'Ввод исходных данных'!$J$186</f>
        <v>353</v>
      </c>
      <c r="K36" s="651">
        <f>(J36)*'Ввод исходных данных'!$H$252</f>
        <v>379.99711399711401</v>
      </c>
      <c r="L36" s="661">
        <f>0.86*L35/1000</f>
        <v>332.16118201056906</v>
      </c>
      <c r="M36" s="98">
        <f>'Ввод исходных данных'!$J$187</f>
        <v>348</v>
      </c>
      <c r="N36" s="651">
        <f>(M36)*'Ввод исходных данных'!$H$253</f>
        <v>381.67741935483883</v>
      </c>
      <c r="O36" s="661">
        <f>0.86*O35/1000</f>
        <v>281.37295406403217</v>
      </c>
      <c r="P36" s="98">
        <f>'Ввод исходных данных'!$J$188</f>
        <v>246.77199999999999</v>
      </c>
      <c r="Q36" s="651">
        <f>(P36)*'Ввод исходных данных'!$H$254</f>
        <v>277.11841834717279</v>
      </c>
      <c r="R36" s="661">
        <f>0.86*R35/1000</f>
        <v>150.91831403424661</v>
      </c>
      <c r="S36" s="98">
        <f>'Ввод исходных данных'!$J$189</f>
        <v>225</v>
      </c>
      <c r="T36" s="651">
        <f>(S36)*'Ввод исходных данных'!$H$255</f>
        <v>404.13723511604439</v>
      </c>
      <c r="U36" s="384"/>
      <c r="V36" s="98">
        <f>'Ввод исходных данных'!$J$190</f>
        <v>120</v>
      </c>
      <c r="W36" s="651">
        <f>(V36)*'Ввод исходных данных'!$H$256</f>
        <v>28.204225352112683</v>
      </c>
      <c r="X36" s="382"/>
      <c r="Y36" s="98">
        <f>'Ввод исходных данных'!$J$191</f>
        <v>0</v>
      </c>
      <c r="Z36" s="651">
        <f>(Y36)*'Ввод исходных данных'!$H$257</f>
        <v>0</v>
      </c>
      <c r="AA36" s="384"/>
      <c r="AB36" s="98">
        <f>'Ввод исходных данных'!$J$192</f>
        <v>0</v>
      </c>
      <c r="AC36" s="651">
        <f>(AB36)*'Ввод исходных данных'!$H$258</f>
        <v>0</v>
      </c>
      <c r="AD36" s="382"/>
      <c r="AE36" s="98">
        <f>'Ввод исходных данных'!$J$193</f>
        <v>0</v>
      </c>
      <c r="AF36" s="651">
        <f>(AE36)*'Ввод исходных данных'!$H$259</f>
        <v>0</v>
      </c>
      <c r="AG36" s="384"/>
      <c r="AH36" s="98">
        <f>'Ввод исходных данных'!$J$194</f>
        <v>1</v>
      </c>
      <c r="AI36" s="651">
        <f>(AH36)*'Ввод исходных данных'!$H$260</f>
        <v>0</v>
      </c>
      <c r="AJ36" s="661">
        <f>0.86*AJ35/1000</f>
        <v>154.162697026568</v>
      </c>
      <c r="AK36" s="663">
        <f>'Ввод исходных данных'!$J$195</f>
        <v>140</v>
      </c>
      <c r="AL36" s="651">
        <f>(AK36)*'Ввод исходных данных'!$H$261</f>
        <v>119.36193619361936</v>
      </c>
      <c r="AM36" s="661">
        <f>0.86*AM35/1000</f>
        <v>260.84564365643007</v>
      </c>
      <c r="AN36" s="663">
        <f>'Ввод исходных данных'!$J$196</f>
        <v>350</v>
      </c>
      <c r="AO36" s="651">
        <f>(AN36)*'Ввод исходных данных'!$H$262</f>
        <v>291.66666666666663</v>
      </c>
      <c r="AP36" s="661">
        <f>0.86*AP35/1000</f>
        <v>353.55093334026446</v>
      </c>
      <c r="AQ36" s="663">
        <f>'Ввод исходных данных'!$J$197</f>
        <v>335</v>
      </c>
      <c r="AR36" s="651">
        <f>(AQ36)*'Ввод исходных данных'!$H$263</f>
        <v>376.83403977828493</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58" t="s">
        <v>874</v>
      </c>
      <c r="B37" s="359" t="s">
        <v>1181</v>
      </c>
      <c r="C37" s="378"/>
      <c r="D37" s="664">
        <f>D39+D63+D66+D69-D72</f>
        <v>2119.1533789599998</v>
      </c>
      <c r="E37" s="664">
        <f>E39+E63+E66+E69-E72</f>
        <v>2264.8100488028999</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1" t="s">
        <v>1195</v>
      </c>
      <c r="B38" s="650" t="s">
        <v>842</v>
      </c>
      <c r="C38" s="330">
        <f>C41+C44+C47+C50+C53+C56+C59</f>
        <v>1508741.9721510245</v>
      </c>
      <c r="D38" s="672">
        <f>$C38*(($D$35+$D$71)/($C$35+$C$71))</f>
        <v>1587016.5953519468</v>
      </c>
      <c r="E38" s="672">
        <f>$C38*(($E$35+$E$71)/($C$35+$C$71))</f>
        <v>1669310.5085618643</v>
      </c>
      <c r="F38" s="673"/>
      <c r="G38" s="527" t="s">
        <v>1196</v>
      </c>
      <c r="H38" s="674" t="s">
        <v>842</v>
      </c>
      <c r="I38" s="330">
        <f>I41+I44+I47+I50+I53+I56+I59</f>
        <v>280922.7455915733</v>
      </c>
      <c r="J38" s="672">
        <f>I38*((J$35+J$71)/(I$35+I$71))</f>
        <v>261387.49332522508</v>
      </c>
      <c r="K38" s="672">
        <f>IFERROR(I38*((K$35+K$71)/(I$35+I$71)),0)</f>
        <v>277078.07996487984</v>
      </c>
      <c r="L38" s="330">
        <f>L41+L44+L47+L50+L53+L56+L59</f>
        <v>242852.52658768202</v>
      </c>
      <c r="M38" s="672">
        <f>L38*((M$35+M$71)/(L$35+L$71))</f>
        <v>252056.7954423895</v>
      </c>
      <c r="N38" s="672">
        <f>IFERROR(L38*((N$35+N$71)/(L$35+L$71)),0)</f>
        <v>271553.8640737505</v>
      </c>
      <c r="O38" s="330">
        <f>O41+O44+O47+O50+O53+O56+O59</f>
        <v>213892.92157642578</v>
      </c>
      <c r="P38" s="672">
        <f>O38*((P$35+P$71)/(O$35+O$71))</f>
        <v>194345.77702684494</v>
      </c>
      <c r="Q38" s="672">
        <f>IFERROR(O38*((Q$35+Q$71)/(O$35+O$71)),0)</f>
        <v>211514.52955532662</v>
      </c>
      <c r="R38" s="330">
        <f>R41+R44+R47+R50+R53+R56+R59</f>
        <v>129735.14325512425</v>
      </c>
      <c r="S38" s="672">
        <f>R38*((S$35+S$71)/(R$35+R$71))</f>
        <v>169056.41750940381</v>
      </c>
      <c r="T38" s="672">
        <f>IFERROR(R38*((T$35+T$71)/(R$35+R$71)),0)</f>
        <v>264104.50820103043</v>
      </c>
      <c r="U38" s="330">
        <f>U41+U44+U47+U50+U53+U56+U59</f>
        <v>9730.1357441343171</v>
      </c>
      <c r="V38" s="672">
        <f>IFERROR(U38*((V$35+V$71)/(U$35+U$71)),0)</f>
        <v>41827.533483961735</v>
      </c>
      <c r="W38" s="672">
        <f>IFERROR(U38*((W$35+W$71)/(U$35+U$71)),0)</f>
        <v>20778.745737384899</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10714.082055338911</v>
      </c>
      <c r="AH38" s="672">
        <f>IFERROR(AG38*((AH$35+AH$71)/(AG$35+AG$71)),0)</f>
        <v>636.62157733429297</v>
      </c>
      <c r="AI38" s="672">
        <f>IFERROR(AG38*((AI$35+AI$71)/(AG$35+AG$71)),0)</f>
        <v>0</v>
      </c>
      <c r="AJ38" s="330">
        <f>AJ41+AJ44+AJ47+AJ50+AJ53+AJ56+AJ59</f>
        <v>131800.21576012153</v>
      </c>
      <c r="AK38" s="672">
        <f>IFERROR(AJ38*((AK$35+AK$71)/(AJ$35+AJ$71)),0)</f>
        <v>124280.75452136158</v>
      </c>
      <c r="AL38" s="672">
        <f>IFERROR(AJ38*((AL$35+AL$71)/(AJ$35+AJ$71)),0)</f>
        <v>113301.79168054223</v>
      </c>
      <c r="AM38" s="330">
        <f>AM41+AM44+AM47+AM50+AM53+AM56+AM59</f>
        <v>199704.65871856204</v>
      </c>
      <c r="AN38" s="672">
        <f>IFERROR(AM38*((AN$35+AN$71)/(AM$35+AM$71)),0)</f>
        <v>249966.89013625548</v>
      </c>
      <c r="AO38" s="672">
        <f>IFERROR(AM38*((AO$35+AO$71)/(AM$35+AM$71)),0)</f>
        <v>217097.82325309751</v>
      </c>
      <c r="AP38" s="330">
        <f>AP41+AP44+AP47+AP50+AP53+AP56+AP59</f>
        <v>259834.71106995386</v>
      </c>
      <c r="AQ38" s="672">
        <f>IFERROR(AP38*((AQ$35+AQ$71)/(AP$35+AP$71)),0)</f>
        <v>249165.37213209417</v>
      </c>
      <c r="AR38" s="672">
        <f>IFERROR(AP38*((AR$35+AR$71)/(AP$35+AP$71)),0)</f>
        <v>273308.50897323369</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58" t="s">
        <v>874</v>
      </c>
      <c r="B39" s="359" t="s">
        <v>1184</v>
      </c>
      <c r="C39" s="558">
        <f>0.86*C38/1000</f>
        <v>1297.518096049881</v>
      </c>
      <c r="D39" s="377">
        <f>0.86*D38/1000</f>
        <v>1364.8342720026742</v>
      </c>
      <c r="E39" s="676">
        <f>0.86*E38/1000</f>
        <v>1435.6070373632033</v>
      </c>
      <c r="F39" s="677"/>
      <c r="G39" s="379" t="s">
        <v>874</v>
      </c>
      <c r="H39" s="678" t="s">
        <v>1184</v>
      </c>
      <c r="I39" s="679">
        <f t="shared" ref="I39:W39" si="23">0.86*I38/1000</f>
        <v>241.59356120875304</v>
      </c>
      <c r="J39" s="680">
        <f t="shared" si="23"/>
        <v>224.79324425969358</v>
      </c>
      <c r="K39" s="681">
        <f t="shared" si="23"/>
        <v>238.28714876979666</v>
      </c>
      <c r="L39" s="682">
        <f t="shared" si="23"/>
        <v>208.85317286540652</v>
      </c>
      <c r="M39" s="683">
        <f t="shared" si="23"/>
        <v>216.76884408045495</v>
      </c>
      <c r="N39" s="681">
        <f t="shared" si="23"/>
        <v>233.53632310342545</v>
      </c>
      <c r="O39" s="684">
        <f t="shared" si="23"/>
        <v>183.94791255572616</v>
      </c>
      <c r="P39" s="681">
        <f t="shared" si="23"/>
        <v>167.13736824308666</v>
      </c>
      <c r="Q39" s="681">
        <f t="shared" si="23"/>
        <v>181.90249541758089</v>
      </c>
      <c r="R39" s="685">
        <f t="shared" si="23"/>
        <v>111.57222319940686</v>
      </c>
      <c r="S39" s="680">
        <f t="shared" si="23"/>
        <v>145.38851905808727</v>
      </c>
      <c r="T39" s="686">
        <f t="shared" si="23"/>
        <v>227.12987705288617</v>
      </c>
      <c r="U39" s="687">
        <f t="shared" si="23"/>
        <v>8.3679167399555112</v>
      </c>
      <c r="V39" s="680">
        <f t="shared" si="23"/>
        <v>35.971678796207087</v>
      </c>
      <c r="W39" s="686">
        <f t="shared" si="23"/>
        <v>17.869721334151013</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9.2141105675914634</v>
      </c>
      <c r="AH39" s="680">
        <f t="shared" ref="AH39" si="27">0.86*AH38/1000</f>
        <v>0.5474945565074919</v>
      </c>
      <c r="AI39" s="686">
        <f>0.86*AI38/1000</f>
        <v>0</v>
      </c>
      <c r="AJ39" s="682">
        <f>0.86*AJ38/1000</f>
        <v>113.34818555370452</v>
      </c>
      <c r="AK39" s="680">
        <f t="shared" ref="AK39:AN39" si="28">0.86*AK38/1000</f>
        <v>106.88144888837095</v>
      </c>
      <c r="AL39" s="686">
        <f t="shared" si="28"/>
        <v>97.439540845266308</v>
      </c>
      <c r="AM39" s="688">
        <f>0.86*AM38/1000</f>
        <v>171.74600649796335</v>
      </c>
      <c r="AN39" s="680">
        <f t="shared" si="28"/>
        <v>214.97152551717971</v>
      </c>
      <c r="AO39" s="686">
        <f t="shared" ref="AO39" si="29">0.86*AO38/1000</f>
        <v>186.70412799766387</v>
      </c>
      <c r="AP39" s="682">
        <f>0.86*AP38/1000</f>
        <v>223.45785152016032</v>
      </c>
      <c r="AQ39" s="680">
        <f t="shared" ref="AQ39:AR39" si="30">0.86*AQ38/1000</f>
        <v>214.28222003360099</v>
      </c>
      <c r="AR39" s="686">
        <f t="shared" si="30"/>
        <v>235.04531771698097</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2" t="s">
        <v>1197</v>
      </c>
      <c r="B41" s="322" t="s">
        <v>842</v>
      </c>
      <c r="C41" s="333">
        <f>IF(C134=0,0,B134/C134*D134)*0.024*$D$147</f>
        <v>814308.05663999997</v>
      </c>
      <c r="D41" s="706">
        <f>C41*($D$38/$C$38)</f>
        <v>856554.94675077032</v>
      </c>
      <c r="E41" s="707">
        <f>C41*($E$38/$C$38)</f>
        <v>900971.15427744796</v>
      </c>
      <c r="F41" s="74"/>
      <c r="G41" s="334" t="s">
        <v>1197</v>
      </c>
      <c r="H41" s="326" t="s">
        <v>842</v>
      </c>
      <c r="I41" s="335">
        <f>IF($C134=0,0,$B134/$C134*$D134)*0.024*G$147</f>
        <v>151621.45631999997</v>
      </c>
      <c r="J41" s="610">
        <f>I41*($J$38/$I$38)</f>
        <v>141077.76256545927</v>
      </c>
      <c r="K41" s="708">
        <f>I41*($K$38/$I$38)</f>
        <v>149546.3883145412</v>
      </c>
      <c r="L41" s="335">
        <f>IF($C134=0,0,$B134/$C134*$D134)*0.024*H$147</f>
        <v>131073.94944</v>
      </c>
      <c r="M41" s="709">
        <f>L41*($M$38/$L$38)</f>
        <v>136041.7374529384</v>
      </c>
      <c r="N41" s="710">
        <f>L41*($N$38/$L$38)</f>
        <v>146564.82248698492</v>
      </c>
      <c r="O41" s="335">
        <f>IF($C134=0,0,$B134/$C134*$D134)*0.024*I$147</f>
        <v>115443.68255999999</v>
      </c>
      <c r="P41" s="711">
        <f>O41*($P$38/$O$38)</f>
        <v>104893.5702247961</v>
      </c>
      <c r="Q41" s="712">
        <f>O41*($Q$38/$O$38)</f>
        <v>114160.00130742099</v>
      </c>
      <c r="R41" s="335">
        <f>IF($C134=0,0,$B134/$C134*$D134)*0.024*J$147</f>
        <v>70021.497599999988</v>
      </c>
      <c r="S41" s="711">
        <f>R41*($S$38/$R$38)</f>
        <v>91244.23217863719</v>
      </c>
      <c r="T41" s="712">
        <f>R41*($T$38/$R$38)</f>
        <v>142544.20755354734</v>
      </c>
      <c r="U41" s="335">
        <f>IF($C134=0,0,$B134/$C134*$D134)*0.024*K$147</f>
        <v>5251.6123200000002</v>
      </c>
      <c r="V41" s="711">
        <f>IFERROR(U41*($V$38/$U$38),0)</f>
        <v>22575.429154933045</v>
      </c>
      <c r="W41" s="712">
        <f>IFERROR(U41*($W$38/$U$38),0)</f>
        <v>11214.840160311302</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5782.6742399999994</v>
      </c>
      <c r="AH41" s="711">
        <f>IFERROR(AG41*($AH$38/$AG$38),0)</f>
        <v>343.60154951816196</v>
      </c>
      <c r="AI41" s="712">
        <f>IFERROR(AG41*($AI$35/$AG$35),0)</f>
        <v>0</v>
      </c>
      <c r="AJ41" s="335">
        <f>IF($C134=0,0,$B134/$C134*$D134)*0.024*P$147</f>
        <v>71136.072</v>
      </c>
      <c r="AK41" s="711">
        <f>AJ41*($AK$38/$AJ$38)</f>
        <v>67077.619341203346</v>
      </c>
      <c r="AL41" s="712">
        <f>IFERROR(AJ41*($AL$38/$AJ$38),0)</f>
        <v>61151.981916213983</v>
      </c>
      <c r="AM41" s="335">
        <f>IF($C134=0,0,$B134/$C134*$D134)*0.024*Q$147</f>
        <v>107785.90079999999</v>
      </c>
      <c r="AN41" s="711">
        <f>AM41*($AN$38/$AM$38)</f>
        <v>134913.76013155899</v>
      </c>
      <c r="AO41" s="712">
        <f>AM41*($AO$38/$AM$38)</f>
        <v>117173.45299406038</v>
      </c>
      <c r="AP41" s="335">
        <f>IF($C134=0,0,$B134/$C134*$D134)*0.024*R$147</f>
        <v>140239.68479999999</v>
      </c>
      <c r="AQ41" s="711">
        <f>AP41*($AQ$38/$AP$38)</f>
        <v>134481.15960716316</v>
      </c>
      <c r="AR41" s="712">
        <f>AP41*($AR$38/$AP$38)</f>
        <v>147511.85087524832</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58" t="s">
        <v>874</v>
      </c>
      <c r="B42" s="359" t="s">
        <v>1184</v>
      </c>
      <c r="C42" s="558">
        <f>0.86*C41/1000</f>
        <v>700.30492871039996</v>
      </c>
      <c r="D42" s="377">
        <f>0.86*D41/1000</f>
        <v>736.63725420566254</v>
      </c>
      <c r="E42" s="676">
        <f>0.86*E41/1000</f>
        <v>774.83519267860515</v>
      </c>
      <c r="F42" s="74"/>
      <c r="G42" s="379" t="s">
        <v>874</v>
      </c>
      <c r="H42" s="380" t="s">
        <v>1184</v>
      </c>
      <c r="I42" s="688">
        <f t="shared" ref="I42:W42" si="31">0.86*I41/1000</f>
        <v>130.39445243519998</v>
      </c>
      <c r="J42" s="680">
        <f t="shared" si="31"/>
        <v>121.32687580629496</v>
      </c>
      <c r="K42" s="713">
        <f t="shared" si="31"/>
        <v>128.60989395050544</v>
      </c>
      <c r="L42" s="688">
        <f t="shared" ref="L42" si="32">0.86*L41/1000</f>
        <v>112.7235965184</v>
      </c>
      <c r="M42" s="683">
        <f t="shared" si="31"/>
        <v>116.99589420952702</v>
      </c>
      <c r="N42" s="683">
        <f t="shared" si="31"/>
        <v>126.04574733880703</v>
      </c>
      <c r="O42" s="682">
        <f t="shared" si="31"/>
        <v>99.281567001599996</v>
      </c>
      <c r="P42" s="714">
        <f t="shared" si="31"/>
        <v>90.208470393324646</v>
      </c>
      <c r="Q42" s="714">
        <f t="shared" si="31"/>
        <v>98.177601124382036</v>
      </c>
      <c r="R42" s="688">
        <f t="shared" si="31"/>
        <v>60.218487935999988</v>
      </c>
      <c r="S42" s="680">
        <f t="shared" si="31"/>
        <v>78.47003967362798</v>
      </c>
      <c r="T42" s="686">
        <f t="shared" si="31"/>
        <v>122.58801849605072</v>
      </c>
      <c r="U42" s="688">
        <f t="shared" si="31"/>
        <v>4.5163865951999993</v>
      </c>
      <c r="V42" s="680">
        <f t="shared" si="31"/>
        <v>19.414869073242418</v>
      </c>
      <c r="W42" s="686">
        <f t="shared" si="31"/>
        <v>9.6447625378677184</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4.9730998463999994</v>
      </c>
      <c r="AH42" s="680">
        <f t="shared" si="36"/>
        <v>0.29549733258561928</v>
      </c>
      <c r="AI42" s="686">
        <f>0.86*AI41/1000</f>
        <v>0</v>
      </c>
      <c r="AJ42" s="688">
        <f t="shared" ref="AJ42" si="37">0.86*AJ41/1000</f>
        <v>61.177021920000001</v>
      </c>
      <c r="AK42" s="680">
        <f t="shared" ref="AK42" si="38">0.86*AK41/1000</f>
        <v>57.686752633434878</v>
      </c>
      <c r="AL42" s="686">
        <f t="shared" ref="AL42:AM42" si="39">0.86*AL41/1000</f>
        <v>52.59070444794402</v>
      </c>
      <c r="AM42" s="688">
        <f t="shared" si="39"/>
        <v>92.695874687999975</v>
      </c>
      <c r="AN42" s="680">
        <f t="shared" ref="AN42" si="40">0.86*AN41/1000</f>
        <v>116.02583371314073</v>
      </c>
      <c r="AO42" s="686">
        <f t="shared" ref="AO42:AP42" si="41">0.86*AO41/1000</f>
        <v>100.76916957489193</v>
      </c>
      <c r="AP42" s="688">
        <f t="shared" si="41"/>
        <v>120.60612892799999</v>
      </c>
      <c r="AQ42" s="680">
        <f t="shared" ref="AQ42" si="42">0.86*AQ41/1000</f>
        <v>115.65379726216032</v>
      </c>
      <c r="AR42" s="686">
        <f t="shared" ref="AR42" si="43">0.86*AR41/1000</f>
        <v>126.86019175271355</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2" t="s">
        <v>1199</v>
      </c>
      <c r="B44" s="322" t="s">
        <v>842</v>
      </c>
      <c r="C44" s="333">
        <f>IF(C135=0,0,B135/C135*D135)*0.024*$D$147</f>
        <v>387113.20081967209</v>
      </c>
      <c r="D44" s="706">
        <f>C44*($D$38/$C$38)</f>
        <v>407196.91326989461</v>
      </c>
      <c r="E44" s="707">
        <f>C44*($E$38/$C$38)</f>
        <v>428311.8956450774</v>
      </c>
      <c r="F44" s="74"/>
      <c r="G44" s="334" t="s">
        <v>1199</v>
      </c>
      <c r="H44" s="326" t="s">
        <v>842</v>
      </c>
      <c r="I44" s="335">
        <f>IF($C135=0,0,$B135/$C135*$D135)*0.024*G$147</f>
        <v>72079.19262295081</v>
      </c>
      <c r="J44" s="610">
        <f>I44*($J$38/$I$38)</f>
        <v>67066.835193228006</v>
      </c>
      <c r="K44" s="708">
        <f>I44*($K$38/$I$38)</f>
        <v>71092.727843483735</v>
      </c>
      <c r="L44" s="335">
        <f>IF($C135=0,0,$B135/$C135*$D135)*0.024*H$147</f>
        <v>62311.131147540982</v>
      </c>
      <c r="M44" s="709">
        <f>L44*($M$38/$L$38)</f>
        <v>64672.763582589301</v>
      </c>
      <c r="N44" s="710">
        <f>L44*($N$38/$L$38)</f>
        <v>69675.323850549728</v>
      </c>
      <c r="O44" s="335">
        <f>IF($C135=0,0,$B135/$C135*$D135)*0.024*I$147</f>
        <v>54880.672131147534</v>
      </c>
      <c r="P44" s="711">
        <f>O44*($P$38/$O$38)</f>
        <v>49865.263377929921</v>
      </c>
      <c r="Q44" s="712">
        <f>O44*($Q$38/$O$38)</f>
        <v>54270.424013784563</v>
      </c>
      <c r="R44" s="335">
        <f>IF($C135=0,0,$B135/$C135*$D135)*0.024*J$147</f>
        <v>33287.459016393441</v>
      </c>
      <c r="S44" s="711">
        <f>R44*($S$38/$R$38)</f>
        <v>43376.516401852474</v>
      </c>
      <c r="T44" s="712">
        <f>R44*($T$38/$R$38)</f>
        <v>67763.967204308821</v>
      </c>
      <c r="U44" s="335">
        <f>IF($C135=0,0,$B135/$C135*$D135)*0.024*K$147</f>
        <v>2496.5594262295081</v>
      </c>
      <c r="V44" s="711">
        <f>IFERROR(U44*($V$38/$U$38),0)</f>
        <v>10732.113686930445</v>
      </c>
      <c r="W44" s="712">
        <f>IFERROR(U44*($W$38/$U$38),0)</f>
        <v>5331.4131374957287</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2749.0204918032782</v>
      </c>
      <c r="AH44" s="711">
        <f>IFERROR(AG44*($AH$38/$AG$38),0)</f>
        <v>163.34444262950322</v>
      </c>
      <c r="AI44" s="712">
        <f>IFERROR(AG44*($AI$35/$AG$35),0)</f>
        <v>0</v>
      </c>
      <c r="AJ44" s="335">
        <f>IF($C135=0,0,$B135/$C135*$D135)*0.024*P$147</f>
        <v>33817.315573770487</v>
      </c>
      <c r="AK44" s="711">
        <f>AJ44*($AK$38/$AJ$38)</f>
        <v>31887.971284086707</v>
      </c>
      <c r="AL44" s="712">
        <f>IFERROR(AJ44*($AL$38/$AJ$38),0)</f>
        <v>29070.987647759273</v>
      </c>
      <c r="AM44" s="335">
        <f>IF($C135=0,0,$B135/$C135*$D135)*0.024*Q$147</f>
        <v>51240.24590163934</v>
      </c>
      <c r="AN44" s="711">
        <f>AM44*($AN$38/$AM$38)</f>
        <v>64136.535422041663</v>
      </c>
      <c r="AO44" s="712">
        <f>AM44*($AO$38/$AM$38)</f>
        <v>55702.98619761438</v>
      </c>
      <c r="AP44" s="335">
        <f>IF($C135=0,0,$B135/$C135*$D135)*0.024*R$147</f>
        <v>66668.422131147527</v>
      </c>
      <c r="AQ44" s="711">
        <f>AP44*($AQ$38/$AP$38)</f>
        <v>63930.881833931358</v>
      </c>
      <c r="AR44" s="712">
        <f>AP44*($AR$38/$AP$38)</f>
        <v>70125.530854715238</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58" t="s">
        <v>874</v>
      </c>
      <c r="B45" s="359" t="s">
        <v>1184</v>
      </c>
      <c r="C45" s="558">
        <f>0.86*C44/1000</f>
        <v>332.91735270491802</v>
      </c>
      <c r="D45" s="377">
        <f>0.86*D44/1000</f>
        <v>350.18934541210933</v>
      </c>
      <c r="E45" s="676">
        <f>0.86*E44/1000</f>
        <v>368.34823025476652</v>
      </c>
      <c r="F45" s="74"/>
      <c r="G45" s="379" t="s">
        <v>874</v>
      </c>
      <c r="H45" s="380" t="s">
        <v>1184</v>
      </c>
      <c r="I45" s="688">
        <f t="shared" ref="I45:O45" si="44">0.86*I44/1000</f>
        <v>61.988105655737691</v>
      </c>
      <c r="J45" s="680">
        <f t="shared" si="44"/>
        <v>57.677478266176081</v>
      </c>
      <c r="K45" s="713">
        <f t="shared" si="44"/>
        <v>61.139745945396008</v>
      </c>
      <c r="L45" s="688">
        <f t="shared" ref="L45" si="45">0.86*L44/1000</f>
        <v>53.587572786885239</v>
      </c>
      <c r="M45" s="683">
        <f t="shared" si="44"/>
        <v>55.618576681026795</v>
      </c>
      <c r="N45" s="683">
        <f t="shared" si="44"/>
        <v>59.920778511472768</v>
      </c>
      <c r="O45" s="688">
        <f t="shared" si="44"/>
        <v>47.197378032786879</v>
      </c>
      <c r="P45" s="717">
        <f t="shared" ref="P45:P57" si="46">O45*($P$35/$O$35)</f>
        <v>41.400879729552251</v>
      </c>
      <c r="Q45" s="718">
        <f t="shared" ref="Q45" si="47">O45*($Q$35/$O$35)</f>
        <v>46.492091115827755</v>
      </c>
      <c r="R45" s="688">
        <f t="shared" ref="R45" si="48">0.86*R44/1000</f>
        <v>28.627214754098357</v>
      </c>
      <c r="S45" s="680">
        <f>0.86*S44/1000</f>
        <v>37.303804105593123</v>
      </c>
      <c r="T45" s="686">
        <f>0.86*T44/1000</f>
        <v>58.277011795705583</v>
      </c>
      <c r="U45" s="688">
        <f t="shared" ref="U45:W45" si="49">0.86*U44/1000</f>
        <v>2.1470411065573769</v>
      </c>
      <c r="V45" s="680">
        <f t="shared" si="49"/>
        <v>9.2296177707601821</v>
      </c>
      <c r="W45" s="686">
        <f t="shared" si="49"/>
        <v>4.5850152982463266</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2.364157622950819</v>
      </c>
      <c r="AH45" s="680">
        <f t="shared" si="53"/>
        <v>0.14047622066137277</v>
      </c>
      <c r="AI45" s="686">
        <f>0.86*AI44/1000</f>
        <v>0</v>
      </c>
      <c r="AJ45" s="688">
        <f t="shared" ref="AJ45" si="54">0.86*AJ44/1000</f>
        <v>29.082891393442619</v>
      </c>
      <c r="AK45" s="680">
        <f t="shared" ref="AK45" si="55">0.86*AK44/1000</f>
        <v>27.423655304314568</v>
      </c>
      <c r="AL45" s="686">
        <f t="shared" ref="AL45:AM45" si="56">0.86*AL44/1000</f>
        <v>25.001049377072974</v>
      </c>
      <c r="AM45" s="688">
        <f t="shared" si="56"/>
        <v>44.066611475409829</v>
      </c>
      <c r="AN45" s="680">
        <f t="shared" ref="AN45" si="57">0.86*AN44/1000</f>
        <v>55.157420462955827</v>
      </c>
      <c r="AO45" s="686">
        <f t="shared" ref="AO45:AP45" si="58">0.86*AO44/1000</f>
        <v>47.904568129948366</v>
      </c>
      <c r="AP45" s="688">
        <f t="shared" si="58"/>
        <v>57.334843032786871</v>
      </c>
      <c r="AQ45" s="680">
        <f t="shared" ref="AQ45" si="59">0.86*AQ44/1000</f>
        <v>54.980558377180969</v>
      </c>
      <c r="AR45" s="686">
        <f t="shared" ref="AR45" si="60">0.86*AR44/1000</f>
        <v>60.307956535055105</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2" t="s">
        <v>1201</v>
      </c>
      <c r="B47" s="322" t="s">
        <v>842</v>
      </c>
      <c r="C47" s="333">
        <f>IF(C136=0,0,B136/C136*D136)*0.024*$D$147</f>
        <v>19511.00509090909</v>
      </c>
      <c r="D47" s="706">
        <f>C47*($D$35/$C$35)</f>
        <v>20875.789881044646</v>
      </c>
      <c r="E47" s="707">
        <f>C47*($E$38/$C$38)</f>
        <v>21587.472498311552</v>
      </c>
      <c r="F47" s="74"/>
      <c r="G47" s="334" t="s">
        <v>1201</v>
      </c>
      <c r="H47" s="326" t="s">
        <v>842</v>
      </c>
      <c r="I47" s="335">
        <f>IF($C136=0,0,$B136/$C136*$D136)*0.024*G$147</f>
        <v>3632.8843636363631</v>
      </c>
      <c r="J47" s="610">
        <f>I47*($J$38/$I$38)</f>
        <v>3380.2550781413079</v>
      </c>
      <c r="K47" s="708">
        <f>I47*($K$38/$I$38)</f>
        <v>3583.1652652087423</v>
      </c>
      <c r="L47" s="335">
        <f>IF($C136=0,0,$B136/$C136*$D136)*0.024*H$147</f>
        <v>3140.5614545454546</v>
      </c>
      <c r="M47" s="709">
        <f>L47*($M$38/$L$38)</f>
        <v>3259.590778178745</v>
      </c>
      <c r="N47" s="708">
        <f>L47*($N$38/$L$38)</f>
        <v>3511.7262740726778</v>
      </c>
      <c r="O47" s="335">
        <f>IF($C136=0,0,$B136/$C136*$D136)*0.024*I$147</f>
        <v>2766.0567272727271</v>
      </c>
      <c r="P47" s="711">
        <f>O47*($P$38/$O$38)</f>
        <v>2513.2736511342241</v>
      </c>
      <c r="Q47" s="712">
        <f>O47*($Q$38/$O$38)</f>
        <v>2735.2994343171376</v>
      </c>
      <c r="R47" s="335">
        <f>IF($C136=0,0,$B136/$C136*$D136)*0.024*J$147</f>
        <v>1677.7309090909089</v>
      </c>
      <c r="S47" s="711">
        <f>R47*($S$38/$R$38)</f>
        <v>2186.2324264593703</v>
      </c>
      <c r="T47" s="712">
        <f>R47*($T$38/$R$38)</f>
        <v>3415.3914315088318</v>
      </c>
      <c r="U47" s="335">
        <f>IF($C136=0,0,$B136/$C136*$D136)*0.024*K$147</f>
        <v>125.82981818181818</v>
      </c>
      <c r="V47" s="711">
        <f>IFERROR(U47*($V$38/$U$38),0)</f>
        <v>540.9123851590291</v>
      </c>
      <c r="W47" s="712">
        <f>IFERROR(U47*($W$38/$U$38),0)</f>
        <v>268.71010507304993</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138.5541818181818</v>
      </c>
      <c r="AH47" s="720">
        <f>IFERROR(AG47*($AH$35/$AG$35),0)</f>
        <v>8.2327707889262705</v>
      </c>
      <c r="AI47" s="721">
        <f>IFERROR(AG47*($AI$35/$AG$35),0)</f>
        <v>0</v>
      </c>
      <c r="AJ47" s="335">
        <f>IF($C136=0,0,$B136/$C136*$D136)*0.024*P$147</f>
        <v>1704.4363636363635</v>
      </c>
      <c r="AK47" s="711">
        <f>AJ47*($AK$38/$AJ$38)</f>
        <v>1607.19492062065</v>
      </c>
      <c r="AL47" s="712">
        <f>IFERROR(AJ47*($AL$38/$AJ$38),)</f>
        <v>1465.2153085768978</v>
      </c>
      <c r="AM47" s="335">
        <f>IF($C136=0,0,$B136/$C136*$D136)*0.024*Q$147</f>
        <v>2582.5745454545454</v>
      </c>
      <c r="AN47" s="711">
        <f>AM47*($AN$38/$AM$38)</f>
        <v>3232.5641866076471</v>
      </c>
      <c r="AO47" s="712">
        <f>AM47*($AO$38/$AM$38)</f>
        <v>2807.5024178438284</v>
      </c>
      <c r="AP47" s="335">
        <f>IF($C136=0,0,$B136/$C136*$D136)*0.024*R$147</f>
        <v>3360.1745454545453</v>
      </c>
      <c r="AQ47" s="711">
        <f>AP47*($AQ$38/$AP$38)</f>
        <v>3222.1989802646763</v>
      </c>
      <c r="AR47" s="712">
        <f>AP47*($AR$38/$AP$38)</f>
        <v>3534.4172883073693</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58" t="s">
        <v>874</v>
      </c>
      <c r="B48" s="359" t="s">
        <v>1184</v>
      </c>
      <c r="C48" s="558">
        <f>0.86*C47/1000</f>
        <v>16.779464378181817</v>
      </c>
      <c r="D48" s="377">
        <f>0.86*D47/1000</f>
        <v>17.953179297698394</v>
      </c>
      <c r="E48" s="676">
        <f>0.86*E47/1000</f>
        <v>18.565226348547935</v>
      </c>
      <c r="F48" s="74"/>
      <c r="G48" s="379" t="s">
        <v>874</v>
      </c>
      <c r="H48" s="380" t="s">
        <v>1184</v>
      </c>
      <c r="I48" s="723">
        <f t="shared" ref="I48:O48" si="61">0.86*I47/1000</f>
        <v>3.1242805527272721</v>
      </c>
      <c r="J48" s="680">
        <f t="shared" si="61"/>
        <v>2.9070193672015248</v>
      </c>
      <c r="K48" s="724">
        <f t="shared" si="61"/>
        <v>3.0815221280795186</v>
      </c>
      <c r="L48" s="723">
        <f t="shared" ref="L48" si="62">0.86*L47/1000</f>
        <v>2.7008828509090907</v>
      </c>
      <c r="M48" s="683">
        <f t="shared" si="61"/>
        <v>2.8032480692337209</v>
      </c>
      <c r="N48" s="681">
        <f t="shared" si="61"/>
        <v>3.0200845957025031</v>
      </c>
      <c r="O48" s="723">
        <f t="shared" si="61"/>
        <v>2.3788087854545452</v>
      </c>
      <c r="P48" s="717">
        <f t="shared" si="46"/>
        <v>2.0866577875955499</v>
      </c>
      <c r="Q48" s="718">
        <f t="shared" ref="Q48" si="63">O48*($Q$35/$O$35)</f>
        <v>2.3432614143026345</v>
      </c>
      <c r="R48" s="723">
        <f t="shared" ref="R48" si="64">0.86*R47/1000</f>
        <v>1.4428485818181815</v>
      </c>
      <c r="S48" s="725">
        <f>0.86*S47/1000</f>
        <v>1.8801598867550586</v>
      </c>
      <c r="T48" s="726">
        <f>0.86*T47/1000</f>
        <v>2.9372366310975955</v>
      </c>
      <c r="U48" s="723">
        <f t="shared" ref="U48:W48" si="65">0.86*U47/1000</f>
        <v>0.10821364363636364</v>
      </c>
      <c r="V48" s="680">
        <f t="shared" si="65"/>
        <v>0.46518465123676506</v>
      </c>
      <c r="W48" s="686">
        <f t="shared" si="65"/>
        <v>0.23109069036282293</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0.11915659636363635</v>
      </c>
      <c r="AH48" s="680">
        <f t="shared" si="69"/>
        <v>7.0801828784765927E-3</v>
      </c>
      <c r="AI48" s="686">
        <f>0.86*AI47/1000</f>
        <v>0</v>
      </c>
      <c r="AJ48" s="723">
        <f t="shared" ref="AJ48" si="70">0.86*AJ47/1000</f>
        <v>1.4658152727272724</v>
      </c>
      <c r="AK48" s="680">
        <f t="shared" ref="AK48" si="71">0.86*AK47/1000</f>
        <v>1.3821876317337589</v>
      </c>
      <c r="AL48" s="686">
        <f t="shared" ref="AL48:AM48" si="72">0.86*AL47/1000</f>
        <v>1.260085165376132</v>
      </c>
      <c r="AM48" s="723">
        <f t="shared" si="72"/>
        <v>2.221014109090909</v>
      </c>
      <c r="AN48" s="680">
        <f t="shared" ref="AN48" si="73">0.86*AN47/1000</f>
        <v>2.7800052004825764</v>
      </c>
      <c r="AO48" s="686">
        <f t="shared" ref="AO48:AP48" si="74">0.86*AO47/1000</f>
        <v>2.4144520793456921</v>
      </c>
      <c r="AP48" s="723">
        <f t="shared" si="74"/>
        <v>2.889750109090909</v>
      </c>
      <c r="AQ48" s="680">
        <f t="shared" ref="AQ48" si="75">0.86*AQ47/1000</f>
        <v>2.7710911230276216</v>
      </c>
      <c r="AR48" s="686">
        <f t="shared" ref="AR48" si="76">0.86*AR47/1000</f>
        <v>3.0395988679443375</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2" t="s">
        <v>1203</v>
      </c>
      <c r="B53" s="322" t="s">
        <v>842</v>
      </c>
      <c r="C53" s="333">
        <f>(IF(C138=0,0,B138/C138*D138)+IF(C139=0,0,B139/C139*D139)+IF(C140=0,0,B140/C140*D140))*0.024*$D$147</f>
        <v>179349.77982315791</v>
      </c>
      <c r="D53" s="706">
        <f>C53*($D$38/$C$38)</f>
        <v>188654.57593538592</v>
      </c>
      <c r="E53" s="707">
        <f>C53*($E$38/$C$38)</f>
        <v>198437.16002691363</v>
      </c>
      <c r="F53" s="74"/>
      <c r="G53" s="334" t="s">
        <v>1203</v>
      </c>
      <c r="H53" s="326" t="s">
        <v>842</v>
      </c>
      <c r="I53" s="335">
        <f>(IF(C138=0,0,B138/C138*D138)+IF(C139=0,0,B139/C139*D139)+IF(C140=0,0,B140/C140*D140))*0.024*G$147</f>
        <v>33394.333490526311</v>
      </c>
      <c r="J53" s="610">
        <f>I53*($J$38/$I$38)</f>
        <v>31072.105265003938</v>
      </c>
      <c r="K53" s="708">
        <f>I53*($K$38/$I$38)</f>
        <v>32937.303762203679</v>
      </c>
      <c r="L53" s="335">
        <f>(IF(C138=0,0,B138/C138*D138)+IF(C139=0,0,B139/C139*D139)+IF(C140=0,0,B140/C140*D140))*0.024*H$147</f>
        <v>28868.784707368424</v>
      </c>
      <c r="M53" s="709">
        <f>L53*($M$38/$L$38)</f>
        <v>29962.93044136123</v>
      </c>
      <c r="N53" s="708">
        <f>L53*($N$38/$L$38)</f>
        <v>32280.619635919917</v>
      </c>
      <c r="O53" s="335">
        <f>(IF(C138=0,0,B138/C138*D138)+IF(C139=0,0,B139/C139*D139)+IF(C140=0,0,B140/C140*D140))*0.024*I$147</f>
        <v>25426.248555789472</v>
      </c>
      <c r="P53" s="711">
        <f>O53*($P$38/$O$38)</f>
        <v>23102.606650248425</v>
      </c>
      <c r="Q53" s="712">
        <f>O53*($Q$38/$O$38)</f>
        <v>25143.520234319676</v>
      </c>
      <c r="R53" s="335">
        <f>(IF(C138=0,0,B138/C138*D138)+IF(C139=0,0,B139/C139*D139)+IF(C140=0,0,B140/C140*D140))*0.024*J$147</f>
        <v>15422.09987368421</v>
      </c>
      <c r="S53" s="711">
        <f>R53*($S$38/$R$38)</f>
        <v>20096.36625590501</v>
      </c>
      <c r="T53" s="712">
        <f>R53*($T$38/$R$38)</f>
        <v>31395.086946926123</v>
      </c>
      <c r="U53" s="335">
        <f>(IF(C138=0,0,B138/C138*D138)+IF(C139=0,0,B139/C139*D139)+IF(C140=0,0,B140/C140*D140))*0.024*K$147</f>
        <v>1156.6574905263158</v>
      </c>
      <c r="V53" s="711">
        <f>IFERROR(U53*($V$38/$U$38),0)</f>
        <v>4972.1947552098591</v>
      </c>
      <c r="W53" s="712">
        <f>IFERROR(U53*($W$38/$U$38),0)</f>
        <v>2470.0469276984663</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1273.6228547368421</v>
      </c>
      <c r="AH53" s="711">
        <f>IFERROR(AG53*($AH$38/$AG$38),)</f>
        <v>75.677578958576078</v>
      </c>
      <c r="AI53" s="712">
        <f>IFERROR(AG53*($AI$35/$AG$35),0)</f>
        <v>0</v>
      </c>
      <c r="AJ53" s="335">
        <f>(IF(C138=0,0,B138/C138*D138)+IF(C139=0,0,B139/C139*D139)+IF(C140=0,0,B140/C140*D140))*0.024*P$147</f>
        <v>15667.582736842105</v>
      </c>
      <c r="AK53" s="711">
        <f>AJ53*($AK$38/$AJ$38)</f>
        <v>14773.716361773584</v>
      </c>
      <c r="AL53" s="712">
        <f>IFERROR(AJ53*($AL$38/$AJ$38),0)</f>
        <v>13468.606141117192</v>
      </c>
      <c r="AM53" s="335">
        <f>(IF(C138=0,0,B138/C138*D138)+IF(C139=0,0,B139/C139*D139)+IF(C140=0,0,B140/C140*D140))*0.024*Q$147</f>
        <v>23739.636884210526</v>
      </c>
      <c r="AN53" s="711">
        <f>AM53*($AN$38/$AM$38)</f>
        <v>29714.495610604845</v>
      </c>
      <c r="AO53" s="712">
        <f>AM53*($AO$38/$AM$38)</f>
        <v>25807.227159603644</v>
      </c>
      <c r="AP53" s="335">
        <f>(IF(C138=0,0,B138/C138*D138)+IF(C139=0,0,B139/C139*D139)+IF(C140=0,0,B140/C140*D140))*0.024*R$147</f>
        <v>30887.520252631577</v>
      </c>
      <c r="AQ53" s="711">
        <f>AP53*($AQ$38/$AP$38)</f>
        <v>29619.21617898297</v>
      </c>
      <c r="AR53" s="712">
        <f>AP53*($AR$38/$AP$38)</f>
        <v>32489.200812952779</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58" t="s">
        <v>874</v>
      </c>
      <c r="B54" s="359" t="s">
        <v>1184</v>
      </c>
      <c r="C54" s="558">
        <f>0.86*C53/1000</f>
        <v>154.24081064791579</v>
      </c>
      <c r="D54" s="377">
        <f>0.86*D53/1000</f>
        <v>162.24293530443188</v>
      </c>
      <c r="E54" s="676">
        <f>0.86*E53/1000</f>
        <v>170.65595762314572</v>
      </c>
      <c r="F54" s="74"/>
      <c r="G54" s="379" t="s">
        <v>874</v>
      </c>
      <c r="H54" s="380" t="s">
        <v>1184</v>
      </c>
      <c r="I54" s="728">
        <f t="shared" ref="I54:O54" si="83">0.86*I53/1000</f>
        <v>28.719126801852628</v>
      </c>
      <c r="J54" s="680">
        <f t="shared" si="83"/>
        <v>26.722010527903386</v>
      </c>
      <c r="K54" s="713">
        <f t="shared" si="83"/>
        <v>28.326081235495163</v>
      </c>
      <c r="L54" s="728">
        <f t="shared" ref="L54" si="84">0.86*L53/1000</f>
        <v>24.827154848336846</v>
      </c>
      <c r="M54" s="683">
        <f t="shared" si="83"/>
        <v>25.768120179570658</v>
      </c>
      <c r="N54" s="681">
        <f t="shared" si="83"/>
        <v>27.761332886891125</v>
      </c>
      <c r="O54" s="728">
        <f t="shared" si="83"/>
        <v>21.866573757978944</v>
      </c>
      <c r="P54" s="717">
        <f t="shared" si="46"/>
        <v>19.181052592001674</v>
      </c>
      <c r="Q54" s="718">
        <f t="shared" ref="Q54" si="85">O54*($Q$35/$O$35)</f>
        <v>21.539813903236361</v>
      </c>
      <c r="R54" s="728">
        <f t="shared" ref="R54" si="86">0.86*R53/1000</f>
        <v>13.263005891368421</v>
      </c>
      <c r="S54" s="725">
        <f>0.86*S53/1000</f>
        <v>17.282874980078308</v>
      </c>
      <c r="T54" s="726">
        <f>0.86*T53/1000</f>
        <v>26.999774774356464</v>
      </c>
      <c r="U54" s="728">
        <f t="shared" ref="U54:W54" si="87">0.86*U53/1000</f>
        <v>0.99472544185263156</v>
      </c>
      <c r="V54" s="680">
        <f t="shared" si="87"/>
        <v>4.2760874894804779</v>
      </c>
      <c r="W54" s="686">
        <f t="shared" si="87"/>
        <v>2.124240357820681</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1.0953156550736842</v>
      </c>
      <c r="AH54" s="680">
        <f t="shared" si="91"/>
        <v>6.5082717904375434E-2</v>
      </c>
      <c r="AI54" s="686">
        <f>0.86*AI53/1000</f>
        <v>0</v>
      </c>
      <c r="AJ54" s="728">
        <f t="shared" ref="AJ54" si="92">0.86*AJ53/1000</f>
        <v>13.474121153684209</v>
      </c>
      <c r="AK54" s="680">
        <f t="shared" ref="AK54" si="93">0.86*AK53/1000</f>
        <v>12.705396071125282</v>
      </c>
      <c r="AL54" s="686">
        <f t="shared" ref="AL54:AM54" si="94">0.86*AL53/1000</f>
        <v>11.583001281360785</v>
      </c>
      <c r="AM54" s="728">
        <f t="shared" si="94"/>
        <v>20.416087720421054</v>
      </c>
      <c r="AN54" s="680">
        <f t="shared" ref="AN54" si="95">0.86*AN53/1000</f>
        <v>25.554466225120166</v>
      </c>
      <c r="AO54" s="686">
        <f t="shared" ref="AO54:AP54" si="96">0.86*AO53/1000</f>
        <v>22.194215357259136</v>
      </c>
      <c r="AP54" s="728">
        <f t="shared" si="96"/>
        <v>26.563267417263155</v>
      </c>
      <c r="AQ54" s="680">
        <f t="shared" ref="AQ54" si="97">0.86*AQ53/1000</f>
        <v>25.472525913925352</v>
      </c>
      <c r="AR54" s="686">
        <f t="shared" ref="AR54" si="98">0.86*AR53/1000</f>
        <v>27.940712699139389</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2" t="s">
        <v>1204</v>
      </c>
      <c r="B56" s="322" t="s">
        <v>842</v>
      </c>
      <c r="C56" s="333">
        <f>(IF(C142=0,0,B142/C142*D142)+IF(C141=0,0,B141/C141*D141))*0.024*$D$147</f>
        <v>104882.91217728531</v>
      </c>
      <c r="D56" s="706">
        <f>C56*($D$38/$C$38)</f>
        <v>110324.31341250637</v>
      </c>
      <c r="E56" s="707">
        <f>C56*($E$38/$C$38)</f>
        <v>116045.12282275649</v>
      </c>
      <c r="F56" s="74"/>
      <c r="G56" s="334" t="s">
        <v>1204</v>
      </c>
      <c r="H56" s="326" t="s">
        <v>842</v>
      </c>
      <c r="I56" s="335">
        <f>(IF(C142=0,0,B142/C142*D142)+IF(C141=0,0,B141/C141*D141))*0.024*G$147</f>
        <v>19528.84999445983</v>
      </c>
      <c r="J56" s="610">
        <f>I56*($J$38/$I$38)</f>
        <v>18170.821792399962</v>
      </c>
      <c r="K56" s="708">
        <f>I56*($K$35/$I$35)</f>
        <v>19194.702793373446</v>
      </c>
      <c r="L56" s="335">
        <f>(IF(C142=0,0,B142/C142*D142)+IF(C141=0,0,B141/C141*D141))*0.024*H$147</f>
        <v>16882.330238227147</v>
      </c>
      <c r="M56" s="709">
        <f>L56*($M$38/$L$38)</f>
        <v>17522.181544655687</v>
      </c>
      <c r="N56" s="708">
        <f>L56*($N$38/$L$38)</f>
        <v>18877.555342643223</v>
      </c>
      <c r="O56" s="335">
        <f>(IF(C142=0,0,B142/C142*D142)+IF(C141=0,0,B141/C141*D141))*0.024*I$147</f>
        <v>14869.151202216064</v>
      </c>
      <c r="P56" s="711">
        <f>O56*($P$38/$O$38)</f>
        <v>13510.296286694982</v>
      </c>
      <c r="Q56" s="712">
        <f>O56*($Q$38/$O$38)</f>
        <v>14703.813002526125</v>
      </c>
      <c r="R56" s="335">
        <f>(IF(C142=0,0,B142/C142*D142)+IF(C141=0,0,B141/C141*D141))*0.024*J$147</f>
        <v>9018.7718559556779</v>
      </c>
      <c r="S56" s="711">
        <f>R56*($S$38/$R$38)</f>
        <v>11752.260968365503</v>
      </c>
      <c r="T56" s="712">
        <f>R56*($T$38/$R$38)</f>
        <v>18359.699968962643</v>
      </c>
      <c r="U56" s="335">
        <f>(IF(C142=0,0,B142/C142*D142)+IF(C141=0,0,B141/C141*D141))*0.024*K$147</f>
        <v>676.40788919667591</v>
      </c>
      <c r="V56" s="711">
        <f>IFERROR(U56*($V$38/$U$38),0)</f>
        <v>2907.7162311168768</v>
      </c>
      <c r="W56" s="712">
        <f>IFERROR(U56*($W$38/$U$38),0)</f>
        <v>1444.4718875429628</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744.80868698060931</v>
      </c>
      <c r="AH56" s="711">
        <f>IFERROR(AG56*($AH$38/$AG$38),0)</f>
        <v>44.255894127822259</v>
      </c>
      <c r="AI56" s="712">
        <f>IFERROR(AG56*($AI$35/$AG$35),0)</f>
        <v>0</v>
      </c>
      <c r="AJ56" s="335">
        <f>(IF(C142=0,0,B142/C142*D142)+IF(C141=0,0,B141/C141*D141))*0.024*P$147</f>
        <v>9162.3290858725741</v>
      </c>
      <c r="AK56" s="711">
        <f>AJ56*($AK$38/$AJ$38)</f>
        <v>8639.6002115634965</v>
      </c>
      <c r="AL56" s="712">
        <f>AJ56*($AL$38/$AJ$38)</f>
        <v>7876.3778603024502</v>
      </c>
      <c r="AM56" s="335">
        <f>(IF(C142=0,0,B142/C142*D142)+IF(C141=0,0,B141/C141*D141))*0.024*Q$147</f>
        <v>13882.828587257616</v>
      </c>
      <c r="AN56" s="711">
        <f>AM56*($AN$38/$AM$38)</f>
        <v>17376.898017897569</v>
      </c>
      <c r="AO56" s="712">
        <f>AM56*($AO$38/$AM$38)</f>
        <v>15091.945707370551</v>
      </c>
      <c r="AP56" s="335">
        <f>(IF(C142=0,0,B142/C142*D142)+IF(C141=0,0,B141/C141*D141))*0.024*R$147</f>
        <v>18062.877340720217</v>
      </c>
      <c r="AQ56" s="711">
        <f>AP56*($AQ$38/$AP$38)</f>
        <v>17321.179052036819</v>
      </c>
      <c r="AR56" s="712">
        <f>AP56*($AR$38/$AP$38)</f>
        <v>18999.532639153669</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58" t="s">
        <v>874</v>
      </c>
      <c r="B57" s="359" t="s">
        <v>1184</v>
      </c>
      <c r="C57" s="558">
        <f>0.86*C56/1000</f>
        <v>90.199304472465357</v>
      </c>
      <c r="D57" s="377">
        <f>0.86*D56/1000</f>
        <v>94.878909534755465</v>
      </c>
      <c r="E57" s="676">
        <f>0.86*E56/1000</f>
        <v>99.798805627570573</v>
      </c>
      <c r="F57" s="74"/>
      <c r="G57" s="379" t="s">
        <v>874</v>
      </c>
      <c r="H57" s="380" t="s">
        <v>1184</v>
      </c>
      <c r="I57" s="728">
        <f t="shared" ref="I57:O57" si="99">0.86*I56/1000</f>
        <v>16.794810995235455</v>
      </c>
      <c r="J57" s="680">
        <f t="shared" si="99"/>
        <v>15.626906741463968</v>
      </c>
      <c r="K57" s="713">
        <f t="shared" si="99"/>
        <v>16.507444402301164</v>
      </c>
      <c r="L57" s="728">
        <f t="shared" ref="L57" si="100">0.86*L56/1000</f>
        <v>14.518804004875346</v>
      </c>
      <c r="M57" s="683">
        <f t="shared" si="99"/>
        <v>15.069076128403891</v>
      </c>
      <c r="N57" s="681">
        <f t="shared" si="99"/>
        <v>16.234697594673172</v>
      </c>
      <c r="O57" s="728">
        <f t="shared" si="99"/>
        <v>12.787470033905814</v>
      </c>
      <c r="P57" s="717">
        <f t="shared" si="46"/>
        <v>11.216989819884018</v>
      </c>
      <c r="Q57" s="718">
        <f t="shared" ref="Q57" si="101">O57*($Q$35/$O$35)</f>
        <v>12.596382399553425</v>
      </c>
      <c r="R57" s="728">
        <f t="shared" ref="R57" si="102">0.86*R56/1000</f>
        <v>7.7561437961218829</v>
      </c>
      <c r="S57" s="725">
        <f>0.86*S56/1000</f>
        <v>10.106944432794332</v>
      </c>
      <c r="T57" s="726">
        <f>0.86*T56/1000</f>
        <v>15.789341973307872</v>
      </c>
      <c r="U57" s="728">
        <f t="shared" ref="U57:W57" si="103">0.86*U56/1000</f>
        <v>0.58171078470914128</v>
      </c>
      <c r="V57" s="680">
        <f t="shared" si="103"/>
        <v>2.500635958760514</v>
      </c>
      <c r="W57" s="686">
        <f t="shared" si="103"/>
        <v>1.242245823286948</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0.64053547080332396</v>
      </c>
      <c r="AH57" s="680">
        <f t="shared" si="107"/>
        <v>3.8060068949927139E-2</v>
      </c>
      <c r="AI57" s="686">
        <f>0.86*AI56/1000</f>
        <v>0</v>
      </c>
      <c r="AJ57" s="728">
        <f t="shared" ref="AJ57" si="108">0.86*AJ56/1000</f>
        <v>7.8796030138504136</v>
      </c>
      <c r="AK57" s="680">
        <f t="shared" ref="AK57" si="109">0.86*AK56/1000</f>
        <v>7.4300561819446065</v>
      </c>
      <c r="AL57" s="686">
        <f t="shared" ref="AL57:AM57" si="110">0.86*AL56/1000</f>
        <v>6.7736849598601072</v>
      </c>
      <c r="AM57" s="728">
        <f t="shared" si="110"/>
        <v>11.93923258504155</v>
      </c>
      <c r="AN57" s="680">
        <f t="shared" ref="AN57" si="111">0.86*AN56/1000</f>
        <v>14.94413229539191</v>
      </c>
      <c r="AO57" s="686">
        <f t="shared" ref="AO57:AP57" si="112">0.86*AO56/1000</f>
        <v>12.979073308338673</v>
      </c>
      <c r="AP57" s="728">
        <f t="shared" si="112"/>
        <v>15.534074513019386</v>
      </c>
      <c r="AQ57" s="680">
        <f t="shared" ref="AQ57" si="113">0.86*AQ56/1000</f>
        <v>14.896213984751665</v>
      </c>
      <c r="AR57" s="686">
        <f t="shared" ref="AR57" si="114">0.86*AR56/1000</f>
        <v>16.339598069672153</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2" t="s">
        <v>1205</v>
      </c>
      <c r="B59" s="322" t="s">
        <v>842</v>
      </c>
      <c r="C59" s="333">
        <f>IF(C143=0,0,B143/C143*D143)*0.024*$D$147</f>
        <v>3577.0176000000006</v>
      </c>
      <c r="D59" s="706">
        <f>C59*($D$38/$C$38)</f>
        <v>3762.5958565814649</v>
      </c>
      <c r="E59" s="707">
        <f>C59*($E$38/$C$38)</f>
        <v>3957.7032913571188</v>
      </c>
      <c r="F59" s="74"/>
      <c r="G59" s="334" t="s">
        <v>1205</v>
      </c>
      <c r="H59" s="326" t="s">
        <v>842</v>
      </c>
      <c r="I59" s="343">
        <f>IF($C143=0,0,$B143/$C143*$D143)*0.024*G$147</f>
        <v>666.02880000000005</v>
      </c>
      <c r="J59" s="610">
        <f>I59*($J$38/$I$38)</f>
        <v>619.71343099257331</v>
      </c>
      <c r="K59" s="708">
        <f>I59*($K$38/$I$38)</f>
        <v>656.91363195493625</v>
      </c>
      <c r="L59" s="335">
        <f>IF($C143=0,0,$B143/$C143*$D143)*0.024*H$147</f>
        <v>575.7696000000002</v>
      </c>
      <c r="M59" s="709">
        <f>L59*($M$38/$L$38)</f>
        <v>597.59164266610344</v>
      </c>
      <c r="N59" s="708">
        <f>L59*($N$35/$L$35)</f>
        <v>661.72034379949582</v>
      </c>
      <c r="O59" s="335">
        <f>IF($C143=0,0,$B143/$C143*$D143)*0.024*I$147</f>
        <v>507.11040000000003</v>
      </c>
      <c r="P59" s="711">
        <f>O59*($P$38/$O$38)</f>
        <v>460.76683604127442</v>
      </c>
      <c r="Q59" s="712">
        <f>O59*($Q$38/$O$38)</f>
        <v>501.47156295814193</v>
      </c>
      <c r="R59" s="335">
        <f>IF($C143=0,0,$B143/$C143*$D143)*0.024*J$147</f>
        <v>307.58400000000006</v>
      </c>
      <c r="S59" s="711">
        <f>R59*($S$38/$R$38)</f>
        <v>400.80927818421799</v>
      </c>
      <c r="T59" s="712">
        <f>R59*($T$38/$R$38)</f>
        <v>626.15509577661942</v>
      </c>
      <c r="U59" s="343">
        <f>IF($C143=0,0,$B143/$C143*$D143)*0.024*K$147</f>
        <v>23.068800000000007</v>
      </c>
      <c r="V59" s="711">
        <f>IFERROR(U59*($V$38/$U$38),0)</f>
        <v>99.167270612488679</v>
      </c>
      <c r="W59" s="712">
        <f>IFERROR(U59*($W$38/$U$38),0)</f>
        <v>49.263519263392503</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25.401600000000006</v>
      </c>
      <c r="AH59" s="711">
        <f>IFERROR(AG59*($AH$38/$AG$38),)</f>
        <v>1.50934131130315</v>
      </c>
      <c r="AI59" s="712">
        <f>IFERROR(AG59*($AI$35/$AG$35),0)</f>
        <v>0</v>
      </c>
      <c r="AJ59" s="335">
        <f>IF($C143=0,0,$B143/$C143*$D143)*0.024*P$147</f>
        <v>312.48</v>
      </c>
      <c r="AK59" s="711">
        <f>AJ59*($AK$38/$AJ$38)</f>
        <v>294.65240211378585</v>
      </c>
      <c r="AL59" s="712">
        <f>AJ59*($AL$38/$AJ$38)</f>
        <v>268.62280657243127</v>
      </c>
      <c r="AM59" s="335">
        <f>IF($C143=0,0,$B143/$C143*$D143)*0.024*Q$147</f>
        <v>473.47200000000004</v>
      </c>
      <c r="AN59" s="711">
        <f>AM59*($AN$38/$AM$38)</f>
        <v>592.63676754473533</v>
      </c>
      <c r="AO59" s="712">
        <f>AM59*($AO$38/$AM$38)</f>
        <v>514.70877660470194</v>
      </c>
      <c r="AP59" s="335">
        <f>IF($C143=0,0,$B143/$C143*$D143)*0.024*R$147</f>
        <v>616.03200000000004</v>
      </c>
      <c r="AQ59" s="711">
        <f>AP59*($AQ$38/$AP$38)</f>
        <v>590.73647971519074</v>
      </c>
      <c r="AR59" s="712">
        <f>AP59*($AR$38/$AP$38)</f>
        <v>647.97650285635109</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58" t="s">
        <v>874</v>
      </c>
      <c r="B60" s="359" t="s">
        <v>1184</v>
      </c>
      <c r="C60" s="731"/>
      <c r="D60" s="377">
        <f>0.86*D59/1000</f>
        <v>3.2358324366600595</v>
      </c>
      <c r="E60" s="676">
        <f>0.86*E59/1000</f>
        <v>3.403624830567122</v>
      </c>
      <c r="F60" s="74"/>
      <c r="G60" s="379" t="s">
        <v>874</v>
      </c>
      <c r="H60" s="380" t="s">
        <v>1184</v>
      </c>
      <c r="I60" s="728">
        <f t="shared" ref="I60:W60" si="115">0.86*I59/1000</f>
        <v>0.572784768</v>
      </c>
      <c r="J60" s="680">
        <f t="shared" si="115"/>
        <v>0.53295355065361305</v>
      </c>
      <c r="K60" s="713">
        <f t="shared" si="115"/>
        <v>0.56494572348124517</v>
      </c>
      <c r="L60" s="728">
        <f t="shared" ref="L60" si="116">0.86*L59/1000</f>
        <v>0.49516185600000018</v>
      </c>
      <c r="M60" s="683">
        <f t="shared" si="115"/>
        <v>0.51392881269284896</v>
      </c>
      <c r="N60" s="681">
        <f t="shared" si="115"/>
        <v>0.56907949566756644</v>
      </c>
      <c r="O60" s="728">
        <f t="shared" si="115"/>
        <v>0.43611494400000006</v>
      </c>
      <c r="P60" s="683">
        <f t="shared" si="115"/>
        <v>0.39625947899549602</v>
      </c>
      <c r="Q60" s="681">
        <f t="shared" si="115"/>
        <v>0.43126554414400203</v>
      </c>
      <c r="R60" s="728">
        <f t="shared" si="115"/>
        <v>0.26452224000000008</v>
      </c>
      <c r="S60" s="725">
        <f t="shared" si="115"/>
        <v>0.34469597923842749</v>
      </c>
      <c r="T60" s="726">
        <f t="shared" si="115"/>
        <v>0.53849338236789268</v>
      </c>
      <c r="U60" s="728">
        <f t="shared" si="115"/>
        <v>1.9839168000000004E-2</v>
      </c>
      <c r="V60" s="680">
        <f t="shared" si="115"/>
        <v>8.5283852726740259E-2</v>
      </c>
      <c r="W60" s="686">
        <f t="shared" si="115"/>
        <v>4.2366626566517553E-2</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2.1845376000000007E-2</v>
      </c>
      <c r="AH60" s="680">
        <f t="shared" si="120"/>
        <v>1.2980335277207088E-3</v>
      </c>
      <c r="AI60" s="686">
        <f>0.86*AI59/1000</f>
        <v>0</v>
      </c>
      <c r="AJ60" s="728">
        <f t="shared" ref="AJ60" si="121">0.86*AJ59/1000</f>
        <v>0.26873279999999999</v>
      </c>
      <c r="AK60" s="680">
        <f t="shared" ref="AK60" si="122">0.86*AK59/1000</f>
        <v>0.25340106581785582</v>
      </c>
      <c r="AL60" s="686">
        <f t="shared" ref="AL60:AM60" si="123">0.86*AL59/1000</f>
        <v>0.23101561365229087</v>
      </c>
      <c r="AM60" s="728">
        <f t="shared" si="123"/>
        <v>0.40718592000000003</v>
      </c>
      <c r="AN60" s="680">
        <f t="shared" ref="AN60" si="124">0.86*AN59/1000</f>
        <v>0.50966762008847244</v>
      </c>
      <c r="AO60" s="686">
        <f t="shared" ref="AO60:AP60" si="125">0.86*AO59/1000</f>
        <v>0.44264954788004368</v>
      </c>
      <c r="AP60" s="728">
        <f t="shared" si="125"/>
        <v>0.52978751999999996</v>
      </c>
      <c r="AQ60" s="680">
        <f t="shared" ref="AQ60" si="126">0.86*AQ59/1000</f>
        <v>0.50803337255506409</v>
      </c>
      <c r="AR60" s="686">
        <f t="shared" ref="AR60" si="127">0.86*AR59/1000</f>
        <v>0.55725979245646196</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29" t="s">
        <v>1198</v>
      </c>
      <c r="B62" s="322" t="s">
        <v>842</v>
      </c>
      <c r="C62" s="324">
        <f>(D151*D152*'Ввод исходных данных'!$D$22*0.28)*D147*0.024+D154*D192+D161</f>
        <v>930387.69875863381</v>
      </c>
      <c r="D62" s="672">
        <f>C62*(($D$35+$D$71)/($C$35+$C$71))</f>
        <v>978656.88454079709</v>
      </c>
      <c r="E62" s="672">
        <f>$C62*(($E$35+$E$71)/($C$35+$C$71))</f>
        <v>1029404.6240128145</v>
      </c>
      <c r="F62" s="74"/>
      <c r="G62" s="344" t="s">
        <v>1198</v>
      </c>
      <c r="H62" s="326" t="s">
        <v>842</v>
      </c>
      <c r="I62" s="328">
        <f>($D$151*$D$152*'Ввод исходных данных'!$D$22*0.28)*G$147*0.024+G192*$D$154+G161</f>
        <v>173235.10025194575</v>
      </c>
      <c r="J62" s="672">
        <f>I62*((J$35+J$71)/(I$35+I$71))</f>
        <v>161188.40258180382</v>
      </c>
      <c r="K62" s="672">
        <f>IFERROR(I62*((K$35+K$71)/(I$35+I$71)),0)</f>
        <v>170864.23122931496</v>
      </c>
      <c r="L62" s="328">
        <f>($D$151*$D$152*'Ввод исходных данных'!$D$22*0.28)*H$147*0.024+H192*$D$154+H161</f>
        <v>149758.54554341003</v>
      </c>
      <c r="M62" s="672">
        <f>L62*((M$35+M$71)/(L$35+L$71))</f>
        <v>155434.49191234278</v>
      </c>
      <c r="N62" s="672">
        <f>IFERROR(L62*((N$35+N$71)/(L$35+L$71)),0)</f>
        <v>167457.64308815915</v>
      </c>
      <c r="O62" s="328">
        <f>($D$151*$D$152*'Ввод исходных данных'!$D$22*0.28)*I$147*0.024+I192*$D$154+I161</f>
        <v>131900.18356984609</v>
      </c>
      <c r="P62" s="672">
        <f>O62*((P$35+P$71)/(O$35+O$71))</f>
        <v>119846.15235014167</v>
      </c>
      <c r="Q62" s="672">
        <f>IFERROR(O62*((Q$35+Q$71)/(O$35+O$71)),0)</f>
        <v>130433.51350955639</v>
      </c>
      <c r="R62" s="328">
        <f>($D$151*$D$152*'Ввод исходных данных'!$D$22*0.28)*J$147*0.024+J192*$D$154+J161</f>
        <v>80003.064545999325</v>
      </c>
      <c r="S62" s="672">
        <f>R62*((S$35+S$71)/(R$35+R$71))</f>
        <v>104251.10068536525</v>
      </c>
      <c r="T62" s="672">
        <f>IFERROR(R62*((T$35+T$71)/(R$35+R$71)),0)</f>
        <v>162863.88935452839</v>
      </c>
      <c r="U62" s="328">
        <f>($D$151*$D$152*'Ввод исходных данных'!$D$22*0.28)*K$147*0.024+K192*$D$154+K161</f>
        <v>6000.2298409499499</v>
      </c>
      <c r="V62" s="672">
        <f>IFERROR(U62*((V$35+V$71)/(U$35+U$71)),0)</f>
        <v>25793.557375095948</v>
      </c>
      <c r="W62" s="672">
        <f>IFERROR(U62*((W$35+W$71)/(U$35+U$71)),0)</f>
        <v>12813.516019663803</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6606.9946563269114</v>
      </c>
      <c r="AH62" s="672">
        <f>IFERROR(AG62*((AH$35+AH$71)/(AG$35+AG$71)),0)</f>
        <v>392.58196248871576</v>
      </c>
      <c r="AI62" s="672">
        <f>IFERROR(AG62*((AI$35+AI$71)/(AG$35+AG$71)),0)</f>
        <v>0</v>
      </c>
      <c r="AJ62" s="328">
        <f>($D$151*$D$152*'Ввод исходных данных'!$D$22*0.28)*P$147*0.024+P192*$D$154+P161</f>
        <v>81276.52156592629</v>
      </c>
      <c r="AK62" s="672">
        <f>IFERROR(AJ62*((AK$35+AK$71)/(AJ$35+AJ$71)),0)</f>
        <v>76639.536337855548</v>
      </c>
      <c r="AL62" s="672">
        <f>IFERROR(AJ62*((AL$35+AL$71)/(AJ$35+AJ$71)),0)</f>
        <v>69869.199089490066</v>
      </c>
      <c r="AM62" s="328">
        <f>($D$151*$D$152*'Ввод исходных данных'!$D$22*0.28)*Q$147*0.024+Q192*$D$154+Q161</f>
        <v>123150.78475058325</v>
      </c>
      <c r="AN62" s="672">
        <f>IFERROR(AM62*((AN$35+AN$71)/(AM$35+AM$71)),0)</f>
        <v>154145.72138412227</v>
      </c>
      <c r="AO62" s="672">
        <f>IFERROR(AM62*((AO$35+AO$71)/(AM$35+AM$71)),0)</f>
        <v>133876.53284012925</v>
      </c>
      <c r="AP62" s="328">
        <f>($D$151*$D$152*'Ввод исходных данных'!$D$22*0.28)*R$147*0.024+R192*$D$154+R161</f>
        <v>160230.85680139755</v>
      </c>
      <c r="AQ62" s="672">
        <f>IFERROR(AP62*((AQ$35+AQ$71)/(AP$35+AP$71)),0)</f>
        <v>153651.45363975639</v>
      </c>
      <c r="AR62" s="672">
        <f>IFERROR(AP62*((AR$35+AR$71)/(AP$35+AP$71)),0)</f>
        <v>168539.67040648271</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58" t="s">
        <v>874</v>
      </c>
      <c r="B63" s="359" t="s">
        <v>1184</v>
      </c>
      <c r="C63" s="658">
        <f>0.86*C62/1000</f>
        <v>800.13342093242511</v>
      </c>
      <c r="D63" s="377">
        <f>0.86*D62/1000</f>
        <v>841.6449207050855</v>
      </c>
      <c r="E63" s="732">
        <f>0.86*E62/1000</f>
        <v>885.28797665102047</v>
      </c>
      <c r="F63" s="74"/>
      <c r="G63" s="379" t="s">
        <v>874</v>
      </c>
      <c r="H63" s="380" t="s">
        <v>1184</v>
      </c>
      <c r="I63" s="728">
        <f t="shared" ref="I63:O63" si="128">0.86*I62/1000</f>
        <v>148.98218621667334</v>
      </c>
      <c r="J63" s="680">
        <f t="shared" si="128"/>
        <v>138.62202622035127</v>
      </c>
      <c r="K63" s="713">
        <f t="shared" si="128"/>
        <v>146.94323885721087</v>
      </c>
      <c r="L63" s="733">
        <f t="shared" si="128"/>
        <v>128.79234916733262</v>
      </c>
      <c r="M63" s="683">
        <f t="shared" si="128"/>
        <v>133.67366304461481</v>
      </c>
      <c r="N63" s="681">
        <f t="shared" si="128"/>
        <v>144.01357305581686</v>
      </c>
      <c r="O63" s="370">
        <f t="shared" si="128"/>
        <v>113.43415787006764</v>
      </c>
      <c r="P63" s="717">
        <f t="shared" ref="P63:P66" si="129">O63*($P$35/$O$35)</f>
        <v>99.50285636501512</v>
      </c>
      <c r="Q63" s="718">
        <f t="shared" ref="Q63" si="130">O63*($Q$35/$O$35)</f>
        <v>111.73907160009607</v>
      </c>
      <c r="R63" s="685">
        <f>0.86*R62/1000</f>
        <v>68.802635509559423</v>
      </c>
      <c r="S63" s="725">
        <f>0.86*S62/1000</f>
        <v>89.655946589414114</v>
      </c>
      <c r="T63" s="726">
        <f>0.86*T62/1000</f>
        <v>140.06294484489439</v>
      </c>
      <c r="U63" s="370">
        <f>0.86*U62/1000</f>
        <v>5.1601976632169571</v>
      </c>
      <c r="V63" s="680">
        <f t="shared" ref="V63:W63" si="131">0.86*V62/1000</f>
        <v>22.182459342582515</v>
      </c>
      <c r="W63" s="686">
        <f t="shared" si="131"/>
        <v>11.019623776910871</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5.6820154044411435</v>
      </c>
      <c r="AH63" s="680">
        <f t="shared" ref="AH63" si="135">0.86*AH62/1000</f>
        <v>0.33762048774029557</v>
      </c>
      <c r="AI63" s="686">
        <f>0.86*AI62/1000</f>
        <v>0</v>
      </c>
      <c r="AJ63" s="682">
        <f>0.86*AJ62/1000</f>
        <v>69.897808546696609</v>
      </c>
      <c r="AK63" s="680">
        <f t="shared" ref="AK63" si="136">0.86*AK62/1000</f>
        <v>65.910001250555766</v>
      </c>
      <c r="AL63" s="686">
        <f t="shared" ref="AL63" si="137">0.86*AL62/1000</f>
        <v>60.08751121696146</v>
      </c>
      <c r="AM63" s="685">
        <f>0.86*AM62/1000</f>
        <v>105.90967488550159</v>
      </c>
      <c r="AN63" s="680">
        <f t="shared" ref="AN63" si="138">0.86*AN62/1000</f>
        <v>132.56532039034516</v>
      </c>
      <c r="AO63" s="686">
        <f t="shared" ref="AO63" si="139">0.86*AO62/1000</f>
        <v>115.13381824251115</v>
      </c>
      <c r="AP63" s="685">
        <f>0.86*AP62/1000</f>
        <v>137.79853684920189</v>
      </c>
      <c r="AQ63" s="680">
        <f t="shared" ref="AQ63" si="140">0.86*AQ62/1000</f>
        <v>132.14025013019048</v>
      </c>
      <c r="AR63" s="686">
        <f t="shared" ref="AR63" si="141">0.86*AR62/1000</f>
        <v>144.94411654957511</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1" t="s">
        <v>1206</v>
      </c>
      <c r="B65" s="650" t="s">
        <v>842</v>
      </c>
      <c r="C65" s="324">
        <f>(C62+C38-C71*$D$156)*($D$158-1)</f>
        <v>264951.006621534</v>
      </c>
      <c r="D65" s="672">
        <f>C65*(($D$35+$D$71)/($C$35+$C$71))</f>
        <v>278696.85620536841</v>
      </c>
      <c r="E65" s="672">
        <f>$C65*(($E$35+$E$71)/($C$35+$C$71))</f>
        <v>293148.53551585175</v>
      </c>
      <c r="F65" s="74"/>
      <c r="G65" s="735" t="s">
        <v>1206</v>
      </c>
      <c r="H65" s="736" t="s">
        <v>842</v>
      </c>
      <c r="I65" s="347">
        <f>(I62+I38-I71*$D$156)*($D$158-1)</f>
        <v>51727.346346542683</v>
      </c>
      <c r="J65" s="672">
        <f>I65*((J$35+J$71)/(I$35+I$71))</f>
        <v>48130.247942066642</v>
      </c>
      <c r="K65" s="672">
        <f>IFERROR(I65*((K$35+K$71)/(I$35+I$71)),0)</f>
        <v>51019.413814985557</v>
      </c>
      <c r="L65" s="349">
        <f>(L62+L38-L71*$D$156)*($D$158-1)</f>
        <v>44433.992242615706</v>
      </c>
      <c r="M65" s="672">
        <f>L65*((M$35+M$71)/(L$35+L$71))</f>
        <v>46118.069475147022</v>
      </c>
      <c r="N65" s="672">
        <f>IFERROR(L65*((N$35+N$71)/(L$35+L$71)),0)</f>
        <v>49685.389150558556</v>
      </c>
      <c r="O65" s="737">
        <f>(O62+O38-O71*$D$156)*($D$158-1)</f>
        <v>37639.930055900557</v>
      </c>
      <c r="P65" s="672">
        <f>O65*((P$35+P$71)/(O$35+O$71))</f>
        <v>34200.11003653676</v>
      </c>
      <c r="Q65" s="672">
        <f>IFERROR(O65*((Q$35+Q$71)/(O$35+O$71)),0)</f>
        <v>37221.391150265488</v>
      </c>
      <c r="R65" s="737">
        <f>(R62+R38-R71*$D$156)*($D$158-1)</f>
        <v>20188.702227260801</v>
      </c>
      <c r="S65" s="672">
        <f>R65*((S$35+S$71)/(R$35+R$71))</f>
        <v>26307.672594102794</v>
      </c>
      <c r="T65" s="672">
        <f>IFERROR(R65*((T$35+T$71)/(R$35+R$71)),0)</f>
        <v>41098.557716643692</v>
      </c>
      <c r="U65" s="374">
        <f>(U62+U38-U71*$D$156)*($D$158-1)</f>
        <v>-2673.2289985292064</v>
      </c>
      <c r="V65" s="672">
        <f>IFERROR(U65*((V$35+V$71)/(U$35+U$71)),0)</f>
        <v>-11491.57405267278</v>
      </c>
      <c r="W65" s="672">
        <f>IFERROR(U65*((W$35+W$71)/(U$35+U$71)),0)</f>
        <v>-5708.6917509581326</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2251.7399725165556</v>
      </c>
      <c r="AH65" s="672">
        <f>IFERROR(AG65*((AH$35+AH$71)/(AG$35+AG$71)),0)</f>
        <v>133.79646017699105</v>
      </c>
      <c r="AI65" s="672">
        <f>IFERROR(AG65*((AI$35+AI$71)/(AG$35+AG$71)),0)</f>
        <v>0</v>
      </c>
      <c r="AJ65" s="737">
        <f>(AJ62+AJ38-AJ71*$D$156)*($D$158-1)</f>
        <v>20622.711065500953</v>
      </c>
      <c r="AK65" s="672">
        <f>IFERROR(AJ65*((AK$35+AK$71)/(AJ$35+AJ$71)),0)</f>
        <v>19446.14488462752</v>
      </c>
      <c r="AL65" s="672">
        <f>IFERROR(AJ65*((AL$35+AL$71)/(AJ$35+AJ$71)),0)</f>
        <v>17728.272291177676</v>
      </c>
      <c r="AM65" s="347">
        <f>(AM62+AM38-AM71*$D$156)*($D$158-1)</f>
        <v>34893.942864103614</v>
      </c>
      <c r="AN65" s="672">
        <f>IFERROR(AM65*((AN$35+AN$71)/(AM$35+AM$71)),0)</f>
        <v>43676.148760376644</v>
      </c>
      <c r="AO65" s="672">
        <f>IFERROR(AM65*((AO$35+AO$71)/(AM$35+AM$71)),0)</f>
        <v>37933.011123143799</v>
      </c>
      <c r="AP65" s="740">
        <f>(AP62+AP38-AP71*$D$156)*($D$158-1)</f>
        <v>47295.35021016089</v>
      </c>
      <c r="AQ65" s="672">
        <f>IFERROR(AP65*((AQ$35+AQ$71)/(AP$35+AP$71)),0)</f>
        <v>45353.307441898389</v>
      </c>
      <c r="AR65" s="672">
        <f>IFERROR(AP65*((AR$35+AR$71)/(AP$35+AP$71)),0)</f>
        <v>49747.863147606688</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58" t="s">
        <v>874</v>
      </c>
      <c r="B66" s="359" t="s">
        <v>1184</v>
      </c>
      <c r="C66" s="658">
        <f>0.86*C65/1000</f>
        <v>227.85786569451926</v>
      </c>
      <c r="D66" s="377">
        <f>0.86*D65/1000</f>
        <v>239.67929633661683</v>
      </c>
      <c r="E66" s="732">
        <f>0.86*E65/1000</f>
        <v>252.1077405436325</v>
      </c>
      <c r="F66" s="74"/>
      <c r="G66" s="379" t="s">
        <v>874</v>
      </c>
      <c r="H66" s="380" t="s">
        <v>1184</v>
      </c>
      <c r="I66" s="723">
        <f t="shared" ref="I66:O66" si="142">0.86*I65/1000</f>
        <v>44.485517858026711</v>
      </c>
      <c r="J66" s="680">
        <f t="shared" si="142"/>
        <v>41.392013230177312</v>
      </c>
      <c r="K66" s="724">
        <f t="shared" si="142"/>
        <v>43.876695880887581</v>
      </c>
      <c r="L66" s="741">
        <f t="shared" si="142"/>
        <v>38.213233328649508</v>
      </c>
      <c r="M66" s="683">
        <f t="shared" si="142"/>
        <v>39.661539748626438</v>
      </c>
      <c r="N66" s="681">
        <f t="shared" si="142"/>
        <v>42.729434669480362</v>
      </c>
      <c r="O66" s="728">
        <f t="shared" si="142"/>
        <v>32.37033984807448</v>
      </c>
      <c r="P66" s="717">
        <f t="shared" si="129"/>
        <v>28.394809260884937</v>
      </c>
      <c r="Q66" s="718">
        <f t="shared" ref="Q66" si="143">O66*($Q$35/$O$35)</f>
        <v>31.886618545240498</v>
      </c>
      <c r="R66" s="742">
        <f>0.86*R65/1000</f>
        <v>17.362283915444287</v>
      </c>
      <c r="S66" s="725">
        <f>0.86*S65/1000</f>
        <v>22.624598430928405</v>
      </c>
      <c r="T66" s="726">
        <f>0.86*T65/1000</f>
        <v>35.344759636313576</v>
      </c>
      <c r="U66" s="685">
        <f>0.86*U65/1000</f>
        <v>-2.2989769387351173</v>
      </c>
      <c r="V66" s="680">
        <f t="shared" ref="V66:W66" si="144">0.86*V65/1000</f>
        <v>-9.8827536852985904</v>
      </c>
      <c r="W66" s="686">
        <f t="shared" si="144"/>
        <v>-4.9094749058239939</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1.9364963763642378</v>
      </c>
      <c r="AH66" s="680">
        <f t="shared" ref="AH66" si="148">0.86*AH65/1000</f>
        <v>0.1150649557522123</v>
      </c>
      <c r="AI66" s="686">
        <f>0.86*AI65/1000</f>
        <v>0</v>
      </c>
      <c r="AJ66" s="723">
        <f t="shared" ref="AJ66" si="149">0.86*AJ65/1000</f>
        <v>17.73553151633082</v>
      </c>
      <c r="AK66" s="680">
        <f t="shared" ref="AK66" si="150">0.86*AK65/1000</f>
        <v>16.723684600779666</v>
      </c>
      <c r="AL66" s="724">
        <f t="shared" ref="AL66" si="151">0.86*AL65/1000</f>
        <v>15.2463141704128</v>
      </c>
      <c r="AM66" s="682">
        <f>0.86*AM65/1000</f>
        <v>30.008790863129107</v>
      </c>
      <c r="AN66" s="680">
        <f t="shared" ref="AN66" si="152">0.86*AN65/1000</f>
        <v>37.561487933923914</v>
      </c>
      <c r="AO66" s="686">
        <f t="shared" ref="AO66" si="153">0.86*AO65/1000</f>
        <v>32.622389565903667</v>
      </c>
      <c r="AP66" s="688">
        <f>0.86*AP65/1000</f>
        <v>40.674001180738365</v>
      </c>
      <c r="AQ66" s="680">
        <f t="shared" ref="AQ66" si="154">0.86*AQ65/1000</f>
        <v>39.003844400032612</v>
      </c>
      <c r="AR66" s="686">
        <f t="shared" ref="AR66" si="155">0.86*AR65/1000</f>
        <v>42.783162306941747</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5" t="s">
        <v>874</v>
      </c>
      <c r="B67" s="386" t="s">
        <v>1181</v>
      </c>
      <c r="C67" s="620"/>
      <c r="D67" s="690"/>
      <c r="E67" s="734">
        <f>(E65/$E$35)*100</f>
        <v>11.131518101347524</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1" t="s">
        <v>1200</v>
      </c>
      <c r="B68" s="650" t="s">
        <v>842</v>
      </c>
      <c r="C68" s="348">
        <f>C71*(1-$D$156)</f>
        <v>401045.00459016394</v>
      </c>
      <c r="D68" s="672">
        <f>C68*(($D$35+$D$71)/($C$35+$C$71))</f>
        <v>421851.50908221566</v>
      </c>
      <c r="E68" s="672">
        <f>$C68*(($E$35+$E$71)/($C$35+$C$71))</f>
        <v>443726.39783735544</v>
      </c>
      <c r="F68" s="74"/>
      <c r="G68" s="735" t="s">
        <v>1200</v>
      </c>
      <c r="H68" s="736" t="s">
        <v>842</v>
      </c>
      <c r="I68" s="327">
        <f>I71*(1-$D$156)</f>
        <v>56255.181639344264</v>
      </c>
      <c r="J68" s="672">
        <f>I68*((J$35+J$71)/(I$35+I$71))</f>
        <v>52343.2194295929</v>
      </c>
      <c r="K68" s="672">
        <f>IFERROR(I68*((K$35+K$71)/(I$35+I$71)),0)</f>
        <v>55485.281848151732</v>
      </c>
      <c r="L68" s="349">
        <f>L71*(1-$D$156)</f>
        <v>50811.13180327868</v>
      </c>
      <c r="M68" s="672">
        <f>L68*((M$35+M$71)/(L$35+L$71))</f>
        <v>52736.906776678014</v>
      </c>
      <c r="N68" s="672">
        <f>IFERROR(L68*((N$35+N$71)/(L$35+L$71)),0)</f>
        <v>56816.206003766645</v>
      </c>
      <c r="O68" s="347">
        <f>O71*(1-$D$156)</f>
        <v>56255.181639344264</v>
      </c>
      <c r="P68" s="672">
        <f>O68*((P$35+P$71)/(O$35+O$71))</f>
        <v>51114.159865165166</v>
      </c>
      <c r="Q68" s="672">
        <f>IFERROR(O68*((Q$35+Q$71)/(O$35+O$71)),0)</f>
        <v>55629.649601302066</v>
      </c>
      <c r="R68" s="349">
        <f>R71*(1-$D$156)</f>
        <v>54440.498360655729</v>
      </c>
      <c r="S68" s="672">
        <f>R68*((S$35+S$71)/(R$35+R$71))</f>
        <v>70940.80593243966</v>
      </c>
      <c r="T68" s="672">
        <f>IFERROR(R68*((T$35+T$71)/(R$35+R$71)),0)</f>
        <v>110825.64588906858</v>
      </c>
      <c r="U68" s="744">
        <f>U71*(1-$D$156)</f>
        <v>36293.665573770486</v>
      </c>
      <c r="V68" s="672">
        <f>IFERROR(U68*((V$35+V$71)/(U$35+U$71)),0)</f>
        <v>156017.81434115607</v>
      </c>
      <c r="W68" s="672">
        <f>IFERROR(U68*((W$35+W$71)/(U$35+U$71)),0)</f>
        <v>77505.275225957448</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54440.498360655729</v>
      </c>
      <c r="AK68" s="672">
        <f>IFERROR(AJ68*((AK$35+AK$71)/(AJ$35+AJ$71)),0)</f>
        <v>51334.560977466819</v>
      </c>
      <c r="AL68" s="672">
        <f>IFERROR(AJ68*((AL$35+AL$71)/(AJ$35+AJ$71)),0)</f>
        <v>46799.665453280802</v>
      </c>
      <c r="AM68" s="327">
        <f>AM71*(1-$D$156)</f>
        <v>54440.498360655729</v>
      </c>
      <c r="AN68" s="672">
        <f>IFERROR(AM68*((AN$35+AN$71)/(AM$35+AM$71)),0)</f>
        <v>68142.236440557142</v>
      </c>
      <c r="AO68" s="672">
        <f>IFERROR(AM68*((AO$35+AO$71)/(AM$35+AM$71)),0)</f>
        <v>59181.962838274259</v>
      </c>
      <c r="AP68" s="746">
        <f>AP71*(1-$D$156)</f>
        <v>56255.181639344264</v>
      </c>
      <c r="AQ68" s="672">
        <f>IFERROR(AP68*((AQ$35+AQ$71)/(AP$35+AP$71)),0)</f>
        <v>53945.230064939584</v>
      </c>
      <c r="AR68" s="672">
        <f>IFERROR(AP68*((AR$35+AR$71)/(AP$35+AP$71)),0)</f>
        <v>59172.309013510836</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58" t="s">
        <v>874</v>
      </c>
      <c r="B69" s="359" t="s">
        <v>1184</v>
      </c>
      <c r="C69" s="361">
        <f>0.86*C68/1000</f>
        <v>344.89870394754098</v>
      </c>
      <c r="D69" s="367">
        <f>0.86*D68/1000</f>
        <v>362.79229781070546</v>
      </c>
      <c r="E69" s="747">
        <f>0.86*E68/1000</f>
        <v>381.60470214012565</v>
      </c>
      <c r="F69" s="74"/>
      <c r="G69" s="379" t="s">
        <v>874</v>
      </c>
      <c r="H69" s="380" t="s">
        <v>1184</v>
      </c>
      <c r="I69" s="748">
        <f>0.86*I68/1000</f>
        <v>48.379456209836071</v>
      </c>
      <c r="J69" s="749">
        <f t="shared" ref="J69:M69" si="156">0.86*J68/1000</f>
        <v>45.015168709449895</v>
      </c>
      <c r="K69" s="750">
        <f t="shared" si="156"/>
        <v>47.717342389410483</v>
      </c>
      <c r="L69" s="741">
        <f>0.86*L68/1000</f>
        <v>43.697573350819667</v>
      </c>
      <c r="M69" s="749">
        <f t="shared" si="156"/>
        <v>45.353739827943095</v>
      </c>
      <c r="N69" s="750">
        <f t="shared" ref="N69" si="157">0.86*N68/1000</f>
        <v>48.861937163239318</v>
      </c>
      <c r="O69" s="682">
        <f>0.86*O68/1000</f>
        <v>48.379456209836071</v>
      </c>
      <c r="P69" s="749">
        <f t="shared" ref="P69" si="158">0.86*P68/1000</f>
        <v>43.958177484042039</v>
      </c>
      <c r="Q69" s="750">
        <f t="shared" ref="Q69" si="159">0.86*Q68/1000</f>
        <v>47.841498657119772</v>
      </c>
      <c r="R69" s="743">
        <f>0.86*R68/1000</f>
        <v>46.818828590163925</v>
      </c>
      <c r="S69" s="749">
        <f t="shared" ref="S69" si="160">0.86*S68/1000</f>
        <v>61.00909310189811</v>
      </c>
      <c r="T69" s="750">
        <f t="shared" ref="T69" si="161">0.86*T68/1000</f>
        <v>95.310055464598975</v>
      </c>
      <c r="U69" s="751">
        <f>0.86*U68/1000</f>
        <v>31.212552393442618</v>
      </c>
      <c r="V69" s="680">
        <f t="shared" ref="V69:W69" si="162">0.86*V68/1000</f>
        <v>134.17532033339421</v>
      </c>
      <c r="W69" s="686">
        <f t="shared" si="162"/>
        <v>66.654536694323411</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46.818828590163925</v>
      </c>
      <c r="AK69" s="749">
        <f t="shared" ref="AK69" si="167">0.86*AK68/1000</f>
        <v>44.147722440621465</v>
      </c>
      <c r="AL69" s="724">
        <f t="shared" ref="AL69" si="168">0.86*AL68/1000</f>
        <v>40.247712289821486</v>
      </c>
      <c r="AM69" s="723">
        <f>0.86*AM68/1000</f>
        <v>46.818828590163925</v>
      </c>
      <c r="AN69" s="680">
        <f t="shared" ref="AN69:AO69" si="169">0.86*AN68/1000</f>
        <v>58.602323338879138</v>
      </c>
      <c r="AO69" s="752">
        <f t="shared" si="169"/>
        <v>50.896488040915862</v>
      </c>
      <c r="AP69" s="753">
        <f>0.86*AP68/1000</f>
        <v>48.379456209836071</v>
      </c>
      <c r="AQ69" s="680">
        <f t="shared" ref="AQ69:AR69" si="170">0.86*AQ68/1000</f>
        <v>46.392897855848048</v>
      </c>
      <c r="AR69" s="752">
        <f t="shared" si="170"/>
        <v>50.888185751619318</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5" t="s">
        <v>874</v>
      </c>
      <c r="B70" s="386" t="s">
        <v>1181</v>
      </c>
      <c r="C70" s="754">
        <f>(C68/$C$35)*100</f>
        <v>17.413755648779009</v>
      </c>
      <c r="D70" s="755">
        <f>(D68/$E$35)*100</f>
        <v>16.018663375432517</v>
      </c>
      <c r="E70" s="734">
        <f>(E68/$E$35)*100</f>
        <v>16.8493027634626</v>
      </c>
      <c r="F70" s="74"/>
      <c r="G70" s="362" t="s">
        <v>874</v>
      </c>
      <c r="H70" s="388" t="s">
        <v>1181</v>
      </c>
      <c r="I70" s="756">
        <f>(I68/I35)*100</f>
        <v>12.511438364721602</v>
      </c>
      <c r="J70" s="757">
        <f t="shared" ref="J70:K70" si="171">(J68/J35)*100</f>
        <v>12.749877460994668</v>
      </c>
      <c r="K70" s="758">
        <f t="shared" si="171"/>
        <v>12.555030829498982</v>
      </c>
      <c r="L70" s="756">
        <f>(L68/L35)*100</f>
        <v>13.155532830874032</v>
      </c>
      <c r="M70" s="757">
        <f t="shared" ref="M70" si="172">(M68/M35)*100</f>
        <v>13.030338397692754</v>
      </c>
      <c r="N70" s="758">
        <f t="shared" ref="N70" si="173">(N68/N35)*100</f>
        <v>12.799589684915016</v>
      </c>
      <c r="O70" s="756">
        <f>(O68/O35)*100</f>
        <v>17.194067699494077</v>
      </c>
      <c r="P70" s="757">
        <f t="shared" ref="P70" si="174">(P68/P35)*100</f>
        <v>17.810070200867013</v>
      </c>
      <c r="Q70" s="758">
        <f t="shared" ref="Q70" si="175">(Q68/Q35)*100</f>
        <v>17.260811829988956</v>
      </c>
      <c r="R70" s="756">
        <f>(R68/R35)*100</f>
        <v>31.022628956443103</v>
      </c>
      <c r="S70" s="757">
        <f t="shared" ref="S70" si="176">(S68/S35)*100</f>
        <v>27.110272640657172</v>
      </c>
      <c r="T70" s="758">
        <f t="shared" ref="T70" si="177">(T68/T35)*100</f>
        <v>23.579342476261285</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0" t="s">
        <v>1202</v>
      </c>
      <c r="B71" s="351" t="s">
        <v>842</v>
      </c>
      <c r="C71" s="352">
        <f>D148*D150*D146*0.024*D157</f>
        <v>802090.00918032788</v>
      </c>
      <c r="D71" s="759">
        <f>C71</f>
        <v>802090.00918032788</v>
      </c>
      <c r="E71" s="760">
        <f>C71</f>
        <v>802090.00918032788</v>
      </c>
      <c r="F71" s="419"/>
      <c r="G71" s="344" t="s">
        <v>1202</v>
      </c>
      <c r="H71" s="346" t="s">
        <v>842</v>
      </c>
      <c r="I71" s="353">
        <f>$D$148*D150*'Ввод исходных данных'!I252*0.024*$D$157</f>
        <v>112510.36327868853</v>
      </c>
      <c r="J71" s="761">
        <f>IF('Ввод исходных данных'!D186&lt;&gt;0,I71,0)</f>
        <v>112510.36327868853</v>
      </c>
      <c r="K71" s="708">
        <f>J71</f>
        <v>112510.36327868853</v>
      </c>
      <c r="L71" s="353">
        <f>$D$148*D150*'Ввод исходных данных'!I253*0.024*$D$157</f>
        <v>101622.26360655736</v>
      </c>
      <c r="M71" s="761">
        <f>IF('Ввод исходных данных'!D187&lt;&gt;0,L71,0)</f>
        <v>101622.26360655736</v>
      </c>
      <c r="N71" s="708">
        <f>M71</f>
        <v>101622.26360655736</v>
      </c>
      <c r="O71" s="353">
        <f>$D$148*D150*'Ввод исходных данных'!I254*0.024*$D$157</f>
        <v>112510.36327868853</v>
      </c>
      <c r="P71" s="761">
        <f>IF('Ввод исходных данных'!D188&lt;&gt;0,O71,0)</f>
        <v>112510.36327868853</v>
      </c>
      <c r="Q71" s="708">
        <f>P71</f>
        <v>112510.36327868853</v>
      </c>
      <c r="R71" s="353">
        <f>$D$148*D150*'Ввод исходных данных'!I255*0.024*$D$157</f>
        <v>108880.99672131146</v>
      </c>
      <c r="S71" s="761">
        <f>IF('Ввод исходных данных'!D189&lt;&gt;0,R71,0)</f>
        <v>108880.99672131146</v>
      </c>
      <c r="T71" s="708">
        <f>S71</f>
        <v>108880.99672131146</v>
      </c>
      <c r="U71" s="353">
        <f>IF(U38=0,0,$D$148*D150*'Ввод исходных данных'!I256*0.024*$D$157)</f>
        <v>72587.331147540972</v>
      </c>
      <c r="V71" s="761">
        <f>IF('Ввод исходных данных'!D186&lt;&gt;0,U71,0)</f>
        <v>72587.331147540972</v>
      </c>
      <c r="W71" s="708">
        <f>V71</f>
        <v>72587.331147540972</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108880.99672131146</v>
      </c>
      <c r="AK71" s="761">
        <f>IF('Ввод исходных данных'!D194&lt;&gt;0,AJ71,0)</f>
        <v>108880.99672131146</v>
      </c>
      <c r="AL71" s="708">
        <f>AK71</f>
        <v>108880.99672131146</v>
      </c>
      <c r="AM71" s="353">
        <f>$D$148*D150*'Ввод исходных данных'!I262*0.024*$D$157</f>
        <v>108880.99672131146</v>
      </c>
      <c r="AN71" s="761">
        <f>IF('Ввод исходных данных'!D195&lt;&gt;0,AM71,0)</f>
        <v>108880.99672131146</v>
      </c>
      <c r="AO71" s="708">
        <f>AN71</f>
        <v>108880.99672131146</v>
      </c>
      <c r="AP71" s="353">
        <f>$D$148*D150*'Ввод исходных данных'!I263*0.024*$D$157</f>
        <v>112510.36327868853</v>
      </c>
      <c r="AQ71" s="762">
        <f>IF('Ввод исходных данных'!D196&lt;&gt;0,AP71,0)</f>
        <v>112510.36327868853</v>
      </c>
      <c r="AR71" s="708">
        <f>AQ71</f>
        <v>112510.36327868853</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58" t="s">
        <v>874</v>
      </c>
      <c r="B72" s="359" t="s">
        <v>1184</v>
      </c>
      <c r="C72" s="361">
        <f>0.86*C71/1000</f>
        <v>689.79740789508196</v>
      </c>
      <c r="D72" s="361">
        <f>0.86*D71/1000</f>
        <v>689.79740789508196</v>
      </c>
      <c r="E72" s="361">
        <f>0.86*E71/1000</f>
        <v>689.79740789508196</v>
      </c>
      <c r="F72" s="74"/>
      <c r="G72" s="362" t="s">
        <v>874</v>
      </c>
      <c r="H72" s="363" t="s">
        <v>1184</v>
      </c>
      <c r="I72" s="365">
        <f>0.86*I71/1000</f>
        <v>96.758912419672143</v>
      </c>
      <c r="J72" s="364">
        <f t="shared" ref="J72:K72" si="178">0.86*J71/1000</f>
        <v>96.758912419672143</v>
      </c>
      <c r="K72" s="763">
        <f t="shared" si="178"/>
        <v>96.758912419672143</v>
      </c>
      <c r="L72" s="365">
        <f>0.86*L71/1000</f>
        <v>87.395146701639334</v>
      </c>
      <c r="M72" s="364">
        <f t="shared" ref="M72" si="179">0.86*M71/1000</f>
        <v>87.395146701639334</v>
      </c>
      <c r="N72" s="763">
        <f t="shared" ref="N72" si="180">0.86*N71/1000</f>
        <v>87.395146701639334</v>
      </c>
      <c r="O72" s="366">
        <f>0.86*O71/1000</f>
        <v>96.758912419672143</v>
      </c>
      <c r="P72" s="364">
        <f t="shared" ref="P72" si="181">0.86*P71/1000</f>
        <v>96.758912419672143</v>
      </c>
      <c r="Q72" s="763">
        <f t="shared" ref="Q72" si="182">0.86*Q71/1000</f>
        <v>96.758912419672143</v>
      </c>
      <c r="R72" s="367">
        <f>0.86*R71/1000</f>
        <v>93.637657180327849</v>
      </c>
      <c r="S72" s="764">
        <f t="shared" ref="S72" si="183">0.86*S71/1000</f>
        <v>93.637657180327849</v>
      </c>
      <c r="T72" s="765">
        <f t="shared" ref="T72" si="184">0.86*T71/1000</f>
        <v>93.637657180327849</v>
      </c>
      <c r="U72" s="368">
        <f>0.86*U71/1000</f>
        <v>62.425104786885235</v>
      </c>
      <c r="V72" s="680">
        <f t="shared" ref="V72:W72" si="185">0.86*V71/1000</f>
        <v>62.425104786885235</v>
      </c>
      <c r="W72" s="686">
        <f t="shared" si="185"/>
        <v>62.425104786885235</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93.637657180327849</v>
      </c>
      <c r="AK72" s="364">
        <f t="shared" ref="AK72:AL72" si="190">0.86*AK71/1000</f>
        <v>93.637657180327849</v>
      </c>
      <c r="AL72" s="763">
        <f t="shared" si="190"/>
        <v>93.637657180327849</v>
      </c>
      <c r="AM72" s="366">
        <f>0.86*AM71/1000</f>
        <v>93.637657180327849</v>
      </c>
      <c r="AN72" s="364">
        <f t="shared" ref="AN72:AO72" si="191">0.86*AN71/1000</f>
        <v>93.637657180327849</v>
      </c>
      <c r="AO72" s="763">
        <f t="shared" si="191"/>
        <v>93.637657180327849</v>
      </c>
      <c r="AP72" s="371">
        <f>0.86*AP71/1000</f>
        <v>96.758912419672143</v>
      </c>
      <c r="AQ72" s="440">
        <f t="shared" ref="AQ72:AR72" si="192">0.86*AQ71/1000</f>
        <v>96.758912419672143</v>
      </c>
      <c r="AR72" s="768">
        <f t="shared" si="192"/>
        <v>96.758912419672143</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29" t="s">
        <v>1207</v>
      </c>
      <c r="B73" s="322" t="s">
        <v>842</v>
      </c>
      <c r="C73" s="769"/>
      <c r="D73" s="770">
        <f>D35-$C$35</f>
        <v>161096.16305897199</v>
      </c>
      <c r="E73" s="771">
        <f>E35-$C$35</f>
        <v>330464.38380652992</v>
      </c>
      <c r="F73" s="74"/>
      <c r="G73" s="344" t="s">
        <v>1207</v>
      </c>
      <c r="H73" s="326" t="s">
        <v>842</v>
      </c>
      <c r="I73" s="373"/>
      <c r="J73" s="610">
        <f>J35-I35</f>
        <v>-39091.01055071759</v>
      </c>
      <c r="K73" s="608">
        <f>K35-I35</f>
        <v>-7693.3669720739708</v>
      </c>
      <c r="L73" s="373"/>
      <c r="M73" s="610">
        <f>M35-L35</f>
        <v>18490.06742957083</v>
      </c>
      <c r="N73" s="608">
        <f>N35-L35</f>
        <v>57656.9061392484</v>
      </c>
      <c r="O73" s="373"/>
      <c r="P73" s="772">
        <f>P35-O35</f>
        <v>-40182.017562828143</v>
      </c>
      <c r="Q73" s="612">
        <f>Q35-O35</f>
        <v>-4889.1330250661704</v>
      </c>
      <c r="R73" s="373"/>
      <c r="S73" s="772">
        <f>S35-R35</f>
        <v>86188.588332271378</v>
      </c>
      <c r="T73" s="612">
        <f>T35-R35</f>
        <v>294525.19277223101</v>
      </c>
      <c r="U73" s="374"/>
      <c r="V73" s="773">
        <f>V35-U35</f>
        <v>162796.52898721542</v>
      </c>
      <c r="W73" s="774">
        <f>W35-U35</f>
        <v>56038.043071722474</v>
      </c>
      <c r="X73" s="373"/>
      <c r="Y73" s="772">
        <f>Y35-X35</f>
        <v>0</v>
      </c>
      <c r="Z73" s="612">
        <f>Z35-X35</f>
        <v>0</v>
      </c>
      <c r="AA73" s="373"/>
      <c r="AB73" s="772">
        <f>AB35-AA35</f>
        <v>0</v>
      </c>
      <c r="AC73" s="612">
        <f>AC35-AA35</f>
        <v>0</v>
      </c>
      <c r="AD73" s="396"/>
      <c r="AE73" s="775">
        <f>AE35-AD35</f>
        <v>0</v>
      </c>
      <c r="AF73" s="776">
        <f>AF35-AD35</f>
        <v>0</v>
      </c>
      <c r="AG73" s="395"/>
      <c r="AH73" s="775">
        <f>AH35-AG35</f>
        <v>-18409.81668418238</v>
      </c>
      <c r="AI73" s="776">
        <f>AI35-AG35</f>
        <v>-19572.81668418238</v>
      </c>
      <c r="AJ73" s="373"/>
      <c r="AK73" s="772">
        <f>AK35-AJ35</f>
        <v>-16438.950030893029</v>
      </c>
      <c r="AL73" s="612">
        <f>AL35-AJ35</f>
        <v>-40441.018237713724</v>
      </c>
      <c r="AM73" s="373"/>
      <c r="AN73" s="772">
        <f>AN35-AM35</f>
        <v>103741.11202740687</v>
      </c>
      <c r="AO73" s="612">
        <f>AO35-AM35</f>
        <v>35899.445360740181</v>
      </c>
      <c r="AP73" s="373"/>
      <c r="AQ73" s="610">
        <f>AQ35-AP35</f>
        <v>-21500.73644216801</v>
      </c>
      <c r="AR73" s="612">
        <f>AR35-AP35</f>
        <v>27152.251819977362</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58" t="s">
        <v>874</v>
      </c>
      <c r="B74" s="359" t="s">
        <v>1184</v>
      </c>
      <c r="C74" s="378"/>
      <c r="D74" s="377">
        <f>0.86*D73/1000</f>
        <v>138.54270023071592</v>
      </c>
      <c r="E74" s="659">
        <f>0.86*E73/1000</f>
        <v>284.19937007361574</v>
      </c>
      <c r="F74" s="74"/>
      <c r="G74" s="379" t="s">
        <v>874</v>
      </c>
      <c r="H74" s="380" t="s">
        <v>1184</v>
      </c>
      <c r="I74" s="382"/>
      <c r="J74" s="381">
        <f>J36-I36</f>
        <v>-33.681809073617103</v>
      </c>
      <c r="K74" s="777">
        <f>K36-I36</f>
        <v>-6.6846950765030897</v>
      </c>
      <c r="L74" s="382"/>
      <c r="M74" s="778">
        <f>M36-L36</f>
        <v>15.838817989430936</v>
      </c>
      <c r="N74" s="777">
        <f>N36-L36</f>
        <v>49.516237344269769</v>
      </c>
      <c r="O74" s="382"/>
      <c r="P74" s="779">
        <f>P36-O36</f>
        <v>-34.60095406403218</v>
      </c>
      <c r="Q74" s="780">
        <f>Q36-O36</f>
        <v>-4.2545357168593796</v>
      </c>
      <c r="R74" s="382"/>
      <c r="S74" s="779">
        <f>S36-R36</f>
        <v>74.081685965753394</v>
      </c>
      <c r="T74" s="780">
        <f>T36-R36</f>
        <v>253.21892108179779</v>
      </c>
      <c r="U74" s="383"/>
      <c r="V74" s="781">
        <f>V36-U36</f>
        <v>120</v>
      </c>
      <c r="W74" s="782">
        <f>W36-U36</f>
        <v>28.204225352112683</v>
      </c>
      <c r="X74" s="382"/>
      <c r="Y74" s="779">
        <f>Y36-X36</f>
        <v>0</v>
      </c>
      <c r="Z74" s="780">
        <f>Z36-X36</f>
        <v>0</v>
      </c>
      <c r="AA74" s="382"/>
      <c r="AB74" s="779">
        <f>AB36-AA36</f>
        <v>0</v>
      </c>
      <c r="AC74" s="780">
        <f>AC36-AA36</f>
        <v>0</v>
      </c>
      <c r="AD74" s="382"/>
      <c r="AE74" s="779">
        <f>AE36-AD36</f>
        <v>0</v>
      </c>
      <c r="AF74" s="780">
        <f>AF36-AD36</f>
        <v>0</v>
      </c>
      <c r="AG74" s="384"/>
      <c r="AH74" s="779">
        <f>AH36-AG36</f>
        <v>1</v>
      </c>
      <c r="AI74" s="780">
        <f>AI36-AG36</f>
        <v>0</v>
      </c>
      <c r="AJ74" s="382"/>
      <c r="AK74" s="779">
        <f>AK36-AJ36</f>
        <v>-14.162697026567997</v>
      </c>
      <c r="AL74" s="780">
        <f>AL36-AJ36</f>
        <v>-34.80076083294864</v>
      </c>
      <c r="AM74" s="382"/>
      <c r="AN74" s="779">
        <f>AN36-AM36</f>
        <v>89.15435634356993</v>
      </c>
      <c r="AO74" s="780">
        <f>AO36-AM36</f>
        <v>30.821023010236559</v>
      </c>
      <c r="AP74" s="382"/>
      <c r="AQ74" s="381">
        <f>AQ36-AP36</f>
        <v>-18.550933340264464</v>
      </c>
      <c r="AR74" s="780">
        <f>AR36-AP36</f>
        <v>23.283106438020468</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5" t="s">
        <v>874</v>
      </c>
      <c r="B75" s="386" t="s">
        <v>1181</v>
      </c>
      <c r="C75" s="378"/>
      <c r="D75" s="387">
        <f>(D73/$C$35)*100</f>
        <v>6.9949486650047659</v>
      </c>
      <c r="E75" s="783">
        <f>(E73/$C$35)*100</f>
        <v>14.349077944785785</v>
      </c>
      <c r="F75" s="74"/>
      <c r="G75" s="362" t="s">
        <v>874</v>
      </c>
      <c r="H75" s="388" t="s">
        <v>1181</v>
      </c>
      <c r="I75" s="390"/>
      <c r="J75" s="389">
        <f>(J73/I35)*100</f>
        <v>-8.6940394620986243</v>
      </c>
      <c r="K75" s="784">
        <f>(K73/I35)*100</f>
        <v>-1.7110439231249157</v>
      </c>
      <c r="L75" s="390"/>
      <c r="M75" s="785">
        <f>(M73/L35)*100</f>
        <v>4.7872716171045369</v>
      </c>
      <c r="N75" s="784">
        <f>(N73/L35)*100</f>
        <v>14.927975321985659</v>
      </c>
      <c r="O75" s="391"/>
      <c r="P75" s="786">
        <f>IFERROR((P73/O35)*100,0)</f>
        <v>-12.281398977731225</v>
      </c>
      <c r="Q75" s="787">
        <f>IFERROR((Q73/O35)*100,0)</f>
        <v>-1.4943349532450267</v>
      </c>
      <c r="R75" s="390"/>
      <c r="S75" s="786">
        <f>IFERROR((S73/R35)*100,0)</f>
        <v>49.114109470460598</v>
      </c>
      <c r="T75" s="787">
        <f>IFERROR((T73/R35)*100,0)</f>
        <v>167.8336174141472</v>
      </c>
      <c r="U75" s="392"/>
      <c r="V75" s="786">
        <f>IFERROR((V73/U35)*100,0)</f>
        <v>-700.60605470285577</v>
      </c>
      <c r="W75" s="787">
        <f>IFERROR((W73/U35)*100,0)</f>
        <v>-241.16357095568884</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-94.058085666638519</v>
      </c>
      <c r="AI75" s="787">
        <f>IFERROR((AI73/AG35)*100,0)</f>
        <v>-100</v>
      </c>
      <c r="AJ75" s="390"/>
      <c r="AK75" s="786">
        <f>IFERROR((AK73/AJ35)*100,0)</f>
        <v>-9.1705044730318797</v>
      </c>
      <c r="AL75" s="787">
        <f>IFERROR((AL73/AJ35)*100,0)</f>
        <v>-22.560111074367121</v>
      </c>
      <c r="AM75" s="390"/>
      <c r="AN75" s="786">
        <f>IFERROR((AN73/AM35)*100,0)</f>
        <v>34.203123001387574</v>
      </c>
      <c r="AO75" s="787">
        <f>IFERROR((AO73/AM35)*100,0)</f>
        <v>11.835935834489637</v>
      </c>
      <c r="AP75" s="390"/>
      <c r="AQ75" s="389">
        <f>(AQ73/AP35)*100</f>
        <v>-5.2299772385182006</v>
      </c>
      <c r="AR75" s="788">
        <f>(AR73/AP35)*100</f>
        <v>6.6046881405647779</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89" t="s">
        <v>1208</v>
      </c>
      <c r="B76" s="790" t="s">
        <v>1346</v>
      </c>
      <c r="C76" s="791">
        <f>C35/('Ввод исходных данных'!$G$45++'Ввод исходных данных'!D23)</f>
        <v>182.34645074750816</v>
      </c>
      <c r="D76" s="672">
        <f>D35/('Ввод исходных данных'!$G$45+'Ввод исходных данных'!$D$23)</f>
        <v>195.10149136975457</v>
      </c>
      <c r="E76" s="792">
        <f>E35/('Ввод исходных данных'!$G$45+'Ввод исходных данных'!$D$23)</f>
        <v>208.51148509481854</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5" t="s">
        <v>874</v>
      </c>
      <c r="B77" s="397" t="s">
        <v>1209</v>
      </c>
      <c r="C77" s="399">
        <f>C76*0.86/1000</f>
        <v>0.156817947642857</v>
      </c>
      <c r="D77" s="398">
        <f t="shared" ref="D77:E77" si="193">D76*0.86/1000</f>
        <v>0.16778728257798892</v>
      </c>
      <c r="E77" s="801">
        <f t="shared" si="193"/>
        <v>0.17931987718154394</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07">
        <f>C38</f>
        <v>1508741.9721510245</v>
      </c>
      <c r="B80" s="408">
        <f>C62</f>
        <v>930387.69875863381</v>
      </c>
      <c r="C80" s="408">
        <f>C65</f>
        <v>264951.006621534</v>
      </c>
      <c r="D80" s="409">
        <f>C68</f>
        <v>401045.00459016394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783" t="s">
        <v>1210</v>
      </c>
      <c r="B82" s="1783"/>
      <c r="C82" s="1783"/>
      <c r="D82" s="1783"/>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766" t="s">
        <v>834</v>
      </c>
      <c r="B83" s="1776" t="s">
        <v>1174</v>
      </c>
      <c r="C83" s="1774" t="s">
        <v>1175</v>
      </c>
      <c r="D83" s="1770" t="s">
        <v>1176</v>
      </c>
      <c r="E83" s="74"/>
      <c r="F83" s="74"/>
      <c r="G83" s="1779" t="s">
        <v>834</v>
      </c>
      <c r="H83" s="1784" t="s">
        <v>1174</v>
      </c>
      <c r="I83" s="1764" t="s">
        <v>488</v>
      </c>
      <c r="J83" s="1765"/>
      <c r="K83" s="1764" t="s">
        <v>489</v>
      </c>
      <c r="L83" s="1765"/>
      <c r="M83" s="1764" t="s">
        <v>490</v>
      </c>
      <c r="N83" s="1765"/>
      <c r="O83" s="1764" t="s">
        <v>491</v>
      </c>
      <c r="P83" s="1765"/>
      <c r="Q83" s="1764" t="s">
        <v>805</v>
      </c>
      <c r="R83" s="1765"/>
      <c r="S83" s="1764" t="s">
        <v>806</v>
      </c>
      <c r="T83" s="1765"/>
      <c r="U83" s="1764" t="s">
        <v>807</v>
      </c>
      <c r="V83" s="1765"/>
      <c r="W83" s="1764" t="s">
        <v>808</v>
      </c>
      <c r="X83" s="1765"/>
      <c r="Y83" s="1764" t="s">
        <v>809</v>
      </c>
      <c r="Z83" s="1765"/>
      <c r="AA83" s="1764" t="s">
        <v>482</v>
      </c>
      <c r="AB83" s="1765"/>
      <c r="AC83" s="1764" t="s">
        <v>486</v>
      </c>
      <c r="AD83" s="1765"/>
      <c r="AE83" s="1764" t="s">
        <v>487</v>
      </c>
      <c r="AF83" s="1765"/>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767"/>
      <c r="B84" s="1777"/>
      <c r="C84" s="1775"/>
      <c r="D84" s="1771"/>
      <c r="E84" s="74"/>
      <c r="F84" s="74"/>
      <c r="G84" s="1780"/>
      <c r="H84" s="1785"/>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923216.08413461549</v>
      </c>
      <c r="D85" s="807">
        <f>IF('Система ГВС'!F3=2,0,D86*1163)</f>
        <v>1211197.0460000001</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88446.559726331368</v>
      </c>
      <c r="J85" s="811">
        <f>J86*1163*'Система ГВС'!$H$4</f>
        <v>117463</v>
      </c>
      <c r="K85" s="810">
        <f>(0.024* (H167*($D$174-IF(H146&gt;=0.8*H165,$D$175,'Ввод исходных данных'!$D$109))*1*$D$177)/(3.6*24*$D$179))*(H170*$D$176+H146+(H170-H146))*(1-0.4*'Ввод исходных данных'!$D$21/'Ввод исходных данных'!$D$20)*'Ввод исходных данных'!$G$45*'Система ГВС'!$H$4</f>
        <v>79887.215236686388</v>
      </c>
      <c r="L85" s="811">
        <f>L86*1163*'Система ГВС'!$H$4</f>
        <v>115137</v>
      </c>
      <c r="M85" s="810">
        <f>(0.024* (I167*($D$174-IF(I146&gt;=0.8*I165,$D$175,'Ввод исходных данных'!$D$109))*1*$D$177)/(3.6*24*$D$179))*(I170*$D$176+I146+(I170-I146))*(1-0.4*'Ввод исходных данных'!$D$21/'Ввод исходных данных'!$D$20)*'Ввод исходных данных'!$G$45*'Система ГВС'!$H$4</f>
        <v>88446.559726331368</v>
      </c>
      <c r="N85" s="812">
        <f>N86*1163*'Система ГВС'!$H$4</f>
        <v>97043.045999999988</v>
      </c>
      <c r="O85" s="810">
        <f>(0.024* (J167*($D$174-IF(J146&gt;=0.8*J165,$D$175,'Ввод исходных данных'!$D$109))*1*$D$177)/(3.6*24*$D$179))*(J170*$D$176+J146+(J170-J146))*(1-0.4*'Ввод исходных данных'!$D$21/'Ввод исходных данных'!$D$20)*'Ввод исходных данных'!$G$45*'Система ГВС'!$H$4</f>
        <v>85593.444896449699</v>
      </c>
      <c r="P85" s="811">
        <f>P86*1163*'Система ГВС'!$H$4</f>
        <v>93040</v>
      </c>
      <c r="Q85" s="810">
        <f>(0.024* (K167*($D$174-IF(K146&gt;=0.8*K165,$D$175,'Ввод исходных данных'!$D$109))*1*$D$177)/(3.6*24*$D$179))*(K170*$D$176+K146+(K170-K146))*(1-0.4*'Ввод исходных данных'!$D$21/'Ввод исходных данных'!$D$20)*'Ввод исходных данных'!$G$45*'Система ГВС'!$H$4</f>
        <v>65128.830343934904</v>
      </c>
      <c r="R85" s="813">
        <f>R86*1163*'Система ГВС'!$H$4</f>
        <v>93040</v>
      </c>
      <c r="S85" s="810">
        <f>(0.024* (L167*($D$174-IF(L146&gt;=0.8*L165,$D$175,'Ввод исходных данных'!$D$109))*1*$D$177)/(3.6*24*$D$179))*(L170*$D$176+L146+(L170-L146))*(1-0.4*'Ввод исходных данных'!$D$21/'Ввод исходных данных'!$D$20)*'Ввод исходных данных'!$G$45*'Система ГВС'!$H$4</f>
        <v>63027.900332840225</v>
      </c>
      <c r="T85" s="813">
        <f>T86*1163*'Система ГВС'!$H$4</f>
        <v>93040</v>
      </c>
      <c r="U85" s="810">
        <f>(0.024* (M167*($D$174-IF(M146&gt;=0.8*M165,$D$175,'Ввод исходных данных'!$D$109))*1*$D$177)/(3.6*24*$D$179))*(M170*$D$176+M146+(M170-M146))*(1-0.4*'Ввод исходных данных'!$D$21/'Ввод исходных данных'!$D$20)*'Ввод исходных данных'!$G$45*'Система ГВС'!$H$4</f>
        <v>35715.810188609466</v>
      </c>
      <c r="V85" s="812">
        <f>V86*1163*'Система ГВС'!$H$4</f>
        <v>93040</v>
      </c>
      <c r="W85" s="810">
        <f>(0.024* (N167*($D$174-IF(N146&gt;=0.8*N165,$D$175,'Ввод исходных данных'!$D$109))*1*$D$177)/(3.6*24*$D$179))*(N170*$D$176+N146+(N170-N146))*(1-0.4*'Ввод исходных данных'!$D$21/'Ввод исходных данных'!$D$20)*'Ввод исходных данных'!$G$45*'Система ГВС'!$H$4</f>
        <v>65128.830343934904</v>
      </c>
      <c r="X85" s="811">
        <f>X86*1163*'Система ГВС'!$H$4</f>
        <v>93040</v>
      </c>
      <c r="Y85" s="810">
        <f>(0.024* (O167*($D$174-IF(G146&gt;=0.8*O165,$D$175,'Ввод исходных данных'!$D$109))*1*$D$177)/(3.6*24*$D$179))*(O170*$D$176+O146+(O170-O146))*(1-0.4*'Ввод исходных данных'!$D$21/'Ввод исходных данных'!$D$20)*'Ввод исходных данных'!$G$45*'Система ГВС'!$H$4</f>
        <v>77034.100406804733</v>
      </c>
      <c r="Z85" s="811">
        <f>Z86*1163*'Система ГВС'!$H$4</f>
        <v>93040</v>
      </c>
      <c r="AA85" s="810">
        <f>(0.024* (P167*($D$174-IF(P146&gt;=0.8*P165,$D$175,'Ввод исходных данных'!$D$109))*1*$D$177)/(3.6*24*$D$179))*(P170*$D$176+P146+(P170-P146))*(1-0.4*'Ввод исходных данных'!$D$21/'Ввод исходных данных'!$D$20)*'Ввод исходных данных'!$G$45*'Система ГВС'!$H$4</f>
        <v>88446.559726331368</v>
      </c>
      <c r="AB85" s="811">
        <f>AB86*1163*'Система ГВС'!$H$4</f>
        <v>93040</v>
      </c>
      <c r="AC85" s="810">
        <f>(0.024* (Q167*($D$174-IF(Q146&gt;=0.8*Q165,$D$175,'Ввод исходных данных'!$D$109))*1*$D$177)/(3.6*24*$D$179))*(Q170*$D$176+Q146+(Q170-Q146))*(1-0.4*'Ввод исходных данных'!$D$21/'Ввод исходных данных'!$D$20)*'Ввод исходных данных'!$G$45*'Система ГВС'!$H$4</f>
        <v>85593.444896449699</v>
      </c>
      <c r="AD85" s="811">
        <f>AD86*1163*'Система ГВС'!$H$4</f>
        <v>118626</v>
      </c>
      <c r="AE85" s="810">
        <f>(0.024* (R167*($D$174-IF(R146&gt;=0.8*R165,$D$175,'Ввод исходных данных'!$D$109))*1*$D$177)/(3.6*24*$D$179))*(R170*$D$176+R146+(R170-R146))*(1-0.4*'Ввод исходных данных'!$D$21/'Ввод исходных данных'!$D$20)*'Ввод исходных данных'!$G$45*'Система ГВС'!$H$4</f>
        <v>88446.559726331368</v>
      </c>
      <c r="AF85" s="811">
        <f>AF86*1163*'Система ГВС'!$H$4</f>
        <v>111648</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4" t="s">
        <v>874</v>
      </c>
      <c r="B86" s="386" t="s">
        <v>1184</v>
      </c>
      <c r="C86" s="815">
        <f>0.86*C85/1000</f>
        <v>793.96583235576941</v>
      </c>
      <c r="D86" s="816">
        <f>IF('Система ГВС'!F3=2,0,'Ввод исходных данных'!K198)</f>
        <v>1041.442</v>
      </c>
      <c r="E86" s="74"/>
      <c r="F86" s="74"/>
      <c r="G86" s="544" t="s">
        <v>874</v>
      </c>
      <c r="H86" s="545" t="s">
        <v>1184</v>
      </c>
      <c r="I86" s="365">
        <f>0.86*I85/1000</f>
        <v>76.064041364644979</v>
      </c>
      <c r="J86" s="817">
        <f>'Ввод исходных данных'!K186*'Система ГВС'!$H$4</f>
        <v>101</v>
      </c>
      <c r="K86" s="365">
        <f>0.86*K85/1000</f>
        <v>68.703005103550296</v>
      </c>
      <c r="L86" s="817">
        <f>'Ввод исходных данных'!K187*'Система ГВС'!$H$4</f>
        <v>99</v>
      </c>
      <c r="M86" s="818">
        <f>0.86*M85/1000</f>
        <v>76.064041364644979</v>
      </c>
      <c r="N86" s="819">
        <f>'Ввод исходных данных'!K188*'Система ГВС'!$H$4</f>
        <v>83.441999999999993</v>
      </c>
      <c r="O86" s="365">
        <f>0.86*O85/1000</f>
        <v>73.610362610946737</v>
      </c>
      <c r="P86" s="817">
        <f>'Ввод исходных данных'!K189*'Система ГВС'!$H$4</f>
        <v>80</v>
      </c>
      <c r="Q86" s="818">
        <f>0.86*Q85/1000</f>
        <v>56.010794095784021</v>
      </c>
      <c r="R86" s="820">
        <f>'Ввод исходных данных'!K190*'Система ГВС'!$H$4</f>
        <v>80</v>
      </c>
      <c r="S86" s="764">
        <f>0.86*S85/1000</f>
        <v>54.203994286242597</v>
      </c>
      <c r="T86" s="821">
        <f>'Ввод исходных данных'!K191*'Система ГВС'!$H$4</f>
        <v>80</v>
      </c>
      <c r="U86" s="764">
        <f>0.86*U85/1000</f>
        <v>30.715596762204139</v>
      </c>
      <c r="V86" s="822">
        <f>'Ввод исходных данных'!K192*'Система ГВС'!$H$4</f>
        <v>80</v>
      </c>
      <c r="W86" s="366">
        <f>0.86*W85/1000</f>
        <v>56.010794095784021</v>
      </c>
      <c r="X86" s="602">
        <f>'Ввод исходных данных'!K193*'Система ГВС'!$H$4</f>
        <v>80</v>
      </c>
      <c r="Y86" s="366">
        <f>0.86*Y85/1000</f>
        <v>66.249326349852069</v>
      </c>
      <c r="Z86" s="602">
        <f>'Ввод исходных данных'!K194*'Система ГВС'!$H$4</f>
        <v>80</v>
      </c>
      <c r="AA86" s="366">
        <f>0.86*AA85/1000</f>
        <v>76.064041364644979</v>
      </c>
      <c r="AB86" s="602">
        <f>'Ввод исходных данных'!K195*'Система ГВС'!$H$4</f>
        <v>80</v>
      </c>
      <c r="AC86" s="366">
        <f>0.86*AC85/1000</f>
        <v>73.610362610946737</v>
      </c>
      <c r="AD86" s="823">
        <f>'Ввод исходных данных'!K196*'Система ГВС'!$H$4</f>
        <v>102</v>
      </c>
      <c r="AE86" s="365">
        <f>0.86*AE85/1000</f>
        <v>76.064041364644979</v>
      </c>
      <c r="AF86" s="823">
        <f>'Ввод исходных данных'!K197*'Система ГВС'!$H$4</f>
        <v>96</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4" t="s">
        <v>1214</v>
      </c>
      <c r="B87" s="825" t="s">
        <v>842</v>
      </c>
      <c r="C87" s="826"/>
      <c r="D87" s="827">
        <f>D85-C85</f>
        <v>287980.9618653846</v>
      </c>
      <c r="E87" s="74"/>
      <c r="F87" s="74"/>
      <c r="G87" s="828" t="s">
        <v>1215</v>
      </c>
      <c r="H87" s="809" t="s">
        <v>842</v>
      </c>
      <c r="I87" s="829"/>
      <c r="J87" s="830">
        <f>J85-I85</f>
        <v>29016.440273668632</v>
      </c>
      <c r="K87" s="829"/>
      <c r="L87" s="830">
        <f>L85-K85</f>
        <v>35249.784763313612</v>
      </c>
      <c r="M87" s="829"/>
      <c r="N87" s="830">
        <f>N85-M85</f>
        <v>8596.4862736686191</v>
      </c>
      <c r="O87" s="829"/>
      <c r="P87" s="830">
        <f>P85-O85</f>
        <v>7446.5551035503013</v>
      </c>
      <c r="Q87" s="829"/>
      <c r="R87" s="830">
        <f>R85-Q85</f>
        <v>27911.169656065096</v>
      </c>
      <c r="S87" s="829"/>
      <c r="T87" s="830">
        <f>T85-S85</f>
        <v>30012.099667159775</v>
      </c>
      <c r="U87" s="829"/>
      <c r="V87" s="830">
        <f>V85-U85</f>
        <v>57324.189811390534</v>
      </c>
      <c r="W87" s="829"/>
      <c r="X87" s="830">
        <f>X85-W85</f>
        <v>27911.169656065096</v>
      </c>
      <c r="Y87" s="829"/>
      <c r="Z87" s="830">
        <f>Z85-Y85</f>
        <v>16005.899593195267</v>
      </c>
      <c r="AA87" s="829"/>
      <c r="AB87" s="830">
        <f>AB85-AA85</f>
        <v>4593.4402736686316</v>
      </c>
      <c r="AC87" s="829"/>
      <c r="AD87" s="830">
        <f>AD85-AC85</f>
        <v>33032.555103550301</v>
      </c>
      <c r="AE87" s="829"/>
      <c r="AF87" s="830">
        <f>AF85-AE85</f>
        <v>23201.440273668632</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58" t="s">
        <v>874</v>
      </c>
      <c r="B88" s="359" t="s">
        <v>1184</v>
      </c>
      <c r="C88" s="831"/>
      <c r="D88" s="832">
        <f>D86-C86</f>
        <v>247.4761676442306</v>
      </c>
      <c r="E88" s="74"/>
      <c r="F88" s="74"/>
      <c r="G88" s="833" t="s">
        <v>874</v>
      </c>
      <c r="H88" s="834" t="s">
        <v>1184</v>
      </c>
      <c r="I88" s="618"/>
      <c r="J88" s="615">
        <f>J86-I86</f>
        <v>24.935958635355021</v>
      </c>
      <c r="K88" s="618"/>
      <c r="L88" s="615">
        <f>L86-K86</f>
        <v>30.296994896449704</v>
      </c>
      <c r="M88" s="618"/>
      <c r="N88" s="615">
        <f>N86-M86</f>
        <v>7.3779586353550144</v>
      </c>
      <c r="O88" s="618"/>
      <c r="P88" s="615">
        <f>P86-O86</f>
        <v>6.389637389053263</v>
      </c>
      <c r="Q88" s="618"/>
      <c r="R88" s="615">
        <f>R86-Q86</f>
        <v>23.989205904215979</v>
      </c>
      <c r="S88" s="618"/>
      <c r="T88" s="615">
        <f>T86-S86</f>
        <v>25.796005713757403</v>
      </c>
      <c r="U88" s="618"/>
      <c r="V88" s="615">
        <f>V86-U86</f>
        <v>49.284403237795857</v>
      </c>
      <c r="W88" s="618"/>
      <c r="X88" s="615">
        <f>X86-W86</f>
        <v>23.989205904215979</v>
      </c>
      <c r="Y88" s="618"/>
      <c r="Z88" s="615">
        <f>Z86-Y86</f>
        <v>13.750673650147931</v>
      </c>
      <c r="AA88" s="618"/>
      <c r="AB88" s="615">
        <f>AB86-AA86</f>
        <v>3.9359586353550213</v>
      </c>
      <c r="AC88" s="618"/>
      <c r="AD88" s="615">
        <f>AD86-AC86</f>
        <v>28.389637389053263</v>
      </c>
      <c r="AE88" s="618"/>
      <c r="AF88" s="615">
        <f>AF86-AE86</f>
        <v>19.935958635355021</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5" t="s">
        <v>874</v>
      </c>
      <c r="B89" s="386" t="s">
        <v>1181</v>
      </c>
      <c r="C89" s="835"/>
      <c r="D89" s="836">
        <f>IF('Система ГВС'!F3=2,0,(D87/C85)*100)</f>
        <v>31.193234911556594</v>
      </c>
      <c r="E89" s="74"/>
      <c r="F89" s="74"/>
      <c r="G89" s="544" t="s">
        <v>874</v>
      </c>
      <c r="H89" s="545" t="s">
        <v>1181</v>
      </c>
      <c r="I89" s="630"/>
      <c r="J89" s="837">
        <f>(J87/I85)*100</f>
        <v>32.806748350021088</v>
      </c>
      <c r="K89" s="630"/>
      <c r="L89" s="837">
        <f>(L87/K85)*100</f>
        <v>44.124438007855296</v>
      </c>
      <c r="M89" s="630"/>
      <c r="N89" s="837">
        <f>(N87/M85)*100</f>
        <v>9.7194128299253286</v>
      </c>
      <c r="O89" s="630"/>
      <c r="P89" s="837">
        <f>(P87/O85)*100</f>
        <v>8.6999128409413675</v>
      </c>
      <c r="Q89" s="630"/>
      <c r="R89" s="837">
        <f>(R87/Q85)*100</f>
        <v>42.855321535287352</v>
      </c>
      <c r="S89" s="630"/>
      <c r="T89" s="837">
        <f>(T87/S85)*100</f>
        <v>47.617165586463607</v>
      </c>
      <c r="U89" s="630"/>
      <c r="V89" s="837">
        <f>(V87/U85)*100</f>
        <v>160.50088044670042</v>
      </c>
      <c r="W89" s="630"/>
      <c r="X89" s="837">
        <f>(X87/W85)*100</f>
        <v>42.855321535287352</v>
      </c>
      <c r="Y89" s="630"/>
      <c r="Z89" s="837">
        <f>(Z87/Y85)*100</f>
        <v>20.777680934379291</v>
      </c>
      <c r="AA89" s="630"/>
      <c r="AB89" s="837">
        <f>(AB87/AA85)*100</f>
        <v>5.1934640396206628</v>
      </c>
      <c r="AC89" s="630"/>
      <c r="AD89" s="837">
        <f>(AD87/AC85)*100</f>
        <v>38.592388872200246</v>
      </c>
      <c r="AE89" s="630"/>
      <c r="AF89" s="837">
        <f>(AF87/AE85)*100</f>
        <v>26.232156847544797</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38" t="s">
        <v>1216</v>
      </c>
      <c r="B90" s="839" t="s">
        <v>1345</v>
      </c>
      <c r="C90" s="840">
        <f>IF('Система ГВС'!F3=2,0,D168*365*'Ввод исходных данных'!$D$22/1000*(1-0.4*'Ввод исходных данных'!D21/'Ввод исходных данных'!D20))</f>
        <v>12023.1</v>
      </c>
      <c r="D90" s="841">
        <f>IF('Система ГВС'!F3=2,0,'Ввод исходных данных'!F218)</f>
        <v>11101</v>
      </c>
      <c r="E90" s="74"/>
      <c r="F90" s="317"/>
      <c r="G90" s="842" t="s">
        <v>1219</v>
      </c>
      <c r="H90" s="839" t="s">
        <v>1345</v>
      </c>
      <c r="I90" s="843">
        <f>G167*G170*'Ввод исходных данных'!$D$22/1000*(1-0.4*'Ввод исходных данных'!D21/'Ввод исходных данных'!D20)*'Система ГВС'!$H$4</f>
        <v>1102.7103550295856</v>
      </c>
      <c r="J90" s="844">
        <f>'Ввод исходных данных'!F206*'Система ГВС'!$H$4</f>
        <v>1022</v>
      </c>
      <c r="K90" s="843">
        <f>H167*H165*'Ввод исходных данных'!$D$22/1000*(1-0.4*'Ввод исходных данных'!D21/'Ввод исходных данных'!D20)*'Система ГВС'!$H$4</f>
        <v>995.99644970414192</v>
      </c>
      <c r="L90" s="844">
        <f>'Ввод исходных данных'!$F$207*'Система ГВС'!$H$4</f>
        <v>1025</v>
      </c>
      <c r="M90" s="843">
        <f>I167*I165*'Ввод исходных данных'!$D$22/1000*(1-0.4*'Ввод исходных данных'!D21/'Ввод исходных данных'!D20)*'Система ГВС'!$H$4</f>
        <v>1102.7103550295856</v>
      </c>
      <c r="N90" s="844">
        <f>'Ввод исходных данных'!$F$208*'Система ГВС'!$H$4</f>
        <v>863</v>
      </c>
      <c r="O90" s="843">
        <f>J167*J165*'Ввод исходных данных'!$D$22/1000*(1-0.4*'Ввод исходных данных'!D21/'Ввод исходных данных'!D20)*'Система ГВС'!$H$4</f>
        <v>1067.1390532544376</v>
      </c>
      <c r="P90" s="844">
        <f>'Ввод исходных данных'!$F$209*'Система ГВС'!$H$4</f>
        <v>1040</v>
      </c>
      <c r="Q90" s="843">
        <f>K167*K165*'Ввод исходных данных'!$D$22/1000*(1-0.4*'Ввод исходных данных'!D21/'Ввод исходных данных'!D20)*'Система ГВС'!$H$4</f>
        <v>992.43931952662706</v>
      </c>
      <c r="R90" s="844">
        <f>'Ввод исходных данных'!$F$210*'Система ГВС'!$H$4</f>
        <v>897</v>
      </c>
      <c r="S90" s="843">
        <f>L167*L165*'Ввод исходных данных'!$D$22/1000*(1-0.4*'Ввод исходных данных'!D21/'Ввод исходных данных'!D20)*'Система ГВС'!$H$4</f>
        <v>960.42514792899397</v>
      </c>
      <c r="T90" s="844">
        <f>'Ввод исходных данных'!$F$211*'Система ГВС'!$H$4</f>
        <v>850</v>
      </c>
      <c r="U90" s="843">
        <f>M167*M170*'Ввод исходных данных'!$D$22/1000*(1-0.4*'Ввод исходных данных'!D21/'Ввод исходных данных'!D20)*'Система ГВС'!$H$4</f>
        <v>544.24091715976328</v>
      </c>
      <c r="V90" s="844">
        <f>'Ввод исходных данных'!$F$212*'Система ГВС'!$H$4</f>
        <v>850</v>
      </c>
      <c r="W90" s="843">
        <f>N167*N165*'Ввод исходных данных'!$D$22/1000*(1-0.4*'Ввод исходных данных'!D21/'Ввод исходных данных'!D20)*'Система ГВС'!$H$4</f>
        <v>992.43931952662706</v>
      </c>
      <c r="X90" s="845">
        <f>'Ввод исходных данных'!$F$213*'Система ГВС'!$H$4</f>
        <v>850</v>
      </c>
      <c r="Y90" s="843">
        <f>O167*O165*'Ввод исходных данных'!$D$22/1000*(1-0.4*'Ввод исходных данных'!D21/'Ввод исходных данных'!D20)*'Система ГВС'!$H$4</f>
        <v>960.42514792899397</v>
      </c>
      <c r="Z90" s="846">
        <f>'Ввод исходных данных'!$F$214*'Система ГВС'!$H$4</f>
        <v>850</v>
      </c>
      <c r="AA90" s="843">
        <f>P167*P165*'Ввод исходных данных'!$D$22/1000*(1-0.4*'Ввод исходных данных'!D21/'Ввод исходных данных'!D20)*'Система ГВС'!$H$4</f>
        <v>1102.7103550295856</v>
      </c>
      <c r="AB90" s="845">
        <f>'Ввод исходных данных'!$F$215*'Система ГВС'!$H$4</f>
        <v>900</v>
      </c>
      <c r="AC90" s="843">
        <f>Q167*Q165*'Ввод исходных данных'!$D$22/1000*(1-0.4*'Ввод исходных данных'!D21/'Ввод исходных данных'!D20)*'Система ГВС'!$H$4</f>
        <v>1067.1390532544376</v>
      </c>
      <c r="AD90" s="847">
        <f>'Ввод исходных данных'!$F$216*'Система ГВС'!$H$4</f>
        <v>986</v>
      </c>
      <c r="AE90" s="843">
        <f>R167*R165*'Ввод исходных данных'!$D$22/1000*(1-0.4*'Ввод исходных данных'!D21/'Ввод исходных данных'!D20)*'Система ГВС'!$H$4</f>
        <v>1102.7103550295856</v>
      </c>
      <c r="AF90" s="664">
        <f>'Ввод исходных данных'!$F$217*'Система ГВС'!$H$4</f>
        <v>968</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4" t="s">
        <v>1218</v>
      </c>
      <c r="B91" s="848" t="s">
        <v>1217</v>
      </c>
      <c r="C91" s="826"/>
      <c r="D91" s="849">
        <f>D90-C90</f>
        <v>-922.10000000000036</v>
      </c>
      <c r="E91" s="74"/>
      <c r="F91" s="74"/>
      <c r="G91" s="828" t="s">
        <v>1220</v>
      </c>
      <c r="H91" s="809" t="s">
        <v>1217</v>
      </c>
      <c r="I91" s="850"/>
      <c r="J91" s="830">
        <f>J90-I90</f>
        <v>-80.710355029585571</v>
      </c>
      <c r="K91" s="850"/>
      <c r="L91" s="830">
        <f>L90-K90</f>
        <v>29.003550295858076</v>
      </c>
      <c r="M91" s="850"/>
      <c r="N91" s="830">
        <f>N90-M90</f>
        <v>-239.71035502958557</v>
      </c>
      <c r="O91" s="850"/>
      <c r="P91" s="830">
        <f>P90-O90</f>
        <v>-27.139053254437613</v>
      </c>
      <c r="Q91" s="829"/>
      <c r="R91" s="830">
        <f>R90-Q90</f>
        <v>-95.43931952662706</v>
      </c>
      <c r="S91" s="850"/>
      <c r="T91" s="830">
        <f>T90-S90</f>
        <v>-110.42514792899397</v>
      </c>
      <c r="U91" s="829"/>
      <c r="V91" s="830">
        <f>V90-U90</f>
        <v>305.75908284023672</v>
      </c>
      <c r="W91" s="829"/>
      <c r="X91" s="830">
        <f>X90-W90</f>
        <v>-142.43931952662706</v>
      </c>
      <c r="Y91" s="829"/>
      <c r="Z91" s="830">
        <f>Z90-Y90</f>
        <v>-110.42514792899397</v>
      </c>
      <c r="AA91" s="850"/>
      <c r="AB91" s="851">
        <f>AB90-AA90</f>
        <v>-202.71035502958557</v>
      </c>
      <c r="AC91" s="121"/>
      <c r="AD91" s="852">
        <f>AD90-AC90</f>
        <v>-81.139053254437613</v>
      </c>
      <c r="AE91" s="829"/>
      <c r="AF91" s="830">
        <f>AF90-AE90</f>
        <v>-134.71035502958557</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5" t="s">
        <v>874</v>
      </c>
      <c r="B92" s="598" t="s">
        <v>1181</v>
      </c>
      <c r="C92" s="835"/>
      <c r="D92" s="853">
        <f>IF('Система ГВС'!F3=2,0,(D91/C90)*100)</f>
        <v>-7.6694030657650725</v>
      </c>
      <c r="E92" s="74"/>
      <c r="F92" s="74"/>
      <c r="G92" s="544" t="s">
        <v>874</v>
      </c>
      <c r="H92" s="545" t="s">
        <v>1181</v>
      </c>
      <c r="I92" s="622"/>
      <c r="J92" s="854">
        <f>(J91/I90)*100</f>
        <v>-7.3192706191119532</v>
      </c>
      <c r="K92" s="622"/>
      <c r="L92" s="854">
        <f>(L91/K90)*100</f>
        <v>2.9120134217821261</v>
      </c>
      <c r="M92" s="622"/>
      <c r="N92" s="854">
        <f>(N91/M90)*100</f>
        <v>-21.738288203809798</v>
      </c>
      <c r="O92" s="622"/>
      <c r="P92" s="854">
        <f>(P91/O90)*100</f>
        <v>-2.5431599726082608</v>
      </c>
      <c r="Q92" s="630"/>
      <c r="R92" s="837">
        <f>(R91/Q90)*100</f>
        <v>-9.6166402971770228</v>
      </c>
      <c r="S92" s="622"/>
      <c r="T92" s="837">
        <f>(T91/S90)*100</f>
        <v>-11.497527752902812</v>
      </c>
      <c r="U92" s="630"/>
      <c r="V92" s="837">
        <f>(V91/U90)*100</f>
        <v>56.180833377230321</v>
      </c>
      <c r="W92" s="630"/>
      <c r="X92" s="837">
        <f>(X91/W90)*100</f>
        <v>-14.352446212486589</v>
      </c>
      <c r="Y92" s="630"/>
      <c r="Z92" s="837">
        <f>(Z91/Y90)*100</f>
        <v>-11.497527752902812</v>
      </c>
      <c r="AA92" s="622"/>
      <c r="AB92" s="837">
        <f>(AB91/AA90)*100</f>
        <v>-18.382919331898982</v>
      </c>
      <c r="AC92" s="620"/>
      <c r="AD92" s="837">
        <f>(AD91/AC90)*100</f>
        <v>-7.6034189740305251</v>
      </c>
      <c r="AE92" s="630"/>
      <c r="AF92" s="837">
        <f>(AF91/AE90)*100</f>
        <v>-12.216295459198015</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4" t="s">
        <v>1221</v>
      </c>
      <c r="B93" s="825" t="s">
        <v>1190</v>
      </c>
      <c r="C93" s="855">
        <f>C85/('Ввод исходных данных'!$G$45+'Ввод исходных данных'!$G$23)</f>
        <v>73.097077128631469</v>
      </c>
      <c r="D93" s="856">
        <f>D85/('Ввод исходных данных'!$G$45+'Ввод исходных данных'!$G$23)</f>
        <v>95.898420110847198</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5" t="s">
        <v>874</v>
      </c>
      <c r="B94" s="397" t="s">
        <v>1209</v>
      </c>
      <c r="C94" s="857">
        <f>IF('Система ГВС'!F3=2,0,C86/('Ввод исходных данных'!$G$45+'Ввод исходных данных'!D23))</f>
        <v>6.2863486330623067E-2</v>
      </c>
      <c r="D94" s="858">
        <f>D86/('Ввод исходных данных'!$G$45+'Ввод исходных данных'!D23)</f>
        <v>8.2457798891528114E-2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59" t="s">
        <v>1222</v>
      </c>
      <c r="B95" s="860" t="s">
        <v>789</v>
      </c>
      <c r="C95" s="861">
        <f>IF('Система ГВС'!F3=2,0,D167*(1-0.4*'Ввод исходных данных'!D21/'Ввод исходных данных'!D20))</f>
        <v>58.313609467455613</v>
      </c>
      <c r="D95" s="862">
        <f>D90*1000/(365*'Ввод исходных данных'!$D$22)</f>
        <v>49.858522344486865</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778" t="s">
        <v>1186</v>
      </c>
      <c r="B97" s="1778"/>
      <c r="C97" s="1778"/>
      <c r="D97" s="1778"/>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90" t="s">
        <v>834</v>
      </c>
      <c r="B98" s="1797" t="s">
        <v>1174</v>
      </c>
      <c r="C98" s="1799" t="s">
        <v>1175</v>
      </c>
      <c r="D98" s="1801" t="s">
        <v>1176</v>
      </c>
      <c r="E98" s="74"/>
      <c r="F98" s="74"/>
      <c r="G98" s="1779" t="s">
        <v>834</v>
      </c>
      <c r="H98" s="1781" t="s">
        <v>1174</v>
      </c>
      <c r="I98" s="1764" t="s">
        <v>488</v>
      </c>
      <c r="J98" s="1765"/>
      <c r="K98" s="1764" t="s">
        <v>489</v>
      </c>
      <c r="L98" s="1765"/>
      <c r="M98" s="1764" t="s">
        <v>490</v>
      </c>
      <c r="N98" s="1765"/>
      <c r="O98" s="1764" t="s">
        <v>491</v>
      </c>
      <c r="P98" s="1765"/>
      <c r="Q98" s="1764" t="s">
        <v>805</v>
      </c>
      <c r="R98" s="1765"/>
      <c r="S98" s="1764" t="s">
        <v>806</v>
      </c>
      <c r="T98" s="1765"/>
      <c r="U98" s="1764" t="s">
        <v>807</v>
      </c>
      <c r="V98" s="1765"/>
      <c r="W98" s="1764" t="s">
        <v>808</v>
      </c>
      <c r="X98" s="1765"/>
      <c r="Y98" s="1764" t="s">
        <v>809</v>
      </c>
      <c r="Z98" s="1765"/>
      <c r="AA98" s="1764" t="s">
        <v>482</v>
      </c>
      <c r="AB98" s="1765"/>
      <c r="AC98" s="1764" t="s">
        <v>486</v>
      </c>
      <c r="AD98" s="1765"/>
      <c r="AE98" s="1764" t="s">
        <v>487</v>
      </c>
      <c r="AF98" s="1765"/>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91"/>
      <c r="B99" s="1798"/>
      <c r="C99" s="1800"/>
      <c r="D99" s="1802"/>
      <c r="E99" s="74"/>
      <c r="F99" s="74"/>
      <c r="G99" s="1780"/>
      <c r="H99" s="1782"/>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4" t="s">
        <v>1224</v>
      </c>
      <c r="B100" s="863" t="s">
        <v>842</v>
      </c>
      <c r="C100" s="864">
        <f>C102+C104+C106+C111</f>
        <v>200468</v>
      </c>
      <c r="D100" s="841">
        <f>'Ввод исходных данных'!Y235*1000</f>
        <v>108349.35999999997</v>
      </c>
      <c r="E100" s="74"/>
      <c r="F100" s="74"/>
      <c r="G100" s="808" t="s">
        <v>1225</v>
      </c>
      <c r="H100" s="865" t="s">
        <v>842</v>
      </c>
      <c r="I100" s="810">
        <f>I102+I104+I106+I111</f>
        <v>16705.666666666664</v>
      </c>
      <c r="J100" s="866">
        <f>'Ввод исходных данных'!$Y$223*1000</f>
        <v>15111</v>
      </c>
      <c r="K100" s="810">
        <f>K102+K104+K106+K111</f>
        <v>16705.666666666664</v>
      </c>
      <c r="L100" s="866">
        <f>'Ввод исходных данных'!$Y$224*1000</f>
        <v>3109</v>
      </c>
      <c r="M100" s="810">
        <f>M102+M104+M106+M111</f>
        <v>16705.666666666664</v>
      </c>
      <c r="N100" s="866">
        <f>'Ввод исходных данных'!$Y$225*1000</f>
        <v>15474</v>
      </c>
      <c r="O100" s="810">
        <f>O102+O104+O106+O111</f>
        <v>16705.666666666664</v>
      </c>
      <c r="P100" s="866">
        <f>'Ввод исходных данных'!$Y$226*1000</f>
        <v>11588</v>
      </c>
      <c r="Q100" s="810">
        <f>Q102+Q104+Q106+Q111</f>
        <v>16705.666666666664</v>
      </c>
      <c r="R100" s="866">
        <f>'Ввод исходных данных'!$Y$227*1000</f>
        <v>10440.999999999998</v>
      </c>
      <c r="S100" s="810">
        <f>S102+S104+S106+S111</f>
        <v>16705.666666666664</v>
      </c>
      <c r="T100" s="866">
        <f>'Ввод исходных данных'!$Y$228*1000</f>
        <v>8125</v>
      </c>
      <c r="U100" s="810">
        <f>U102+U104+U106+U111</f>
        <v>16705.666666666664</v>
      </c>
      <c r="V100" s="866">
        <f>'Ввод исходных данных'!$Y$229*1000</f>
        <v>7904</v>
      </c>
      <c r="W100" s="810">
        <f>W102+W104+W106+W111</f>
        <v>16705.666666666664</v>
      </c>
      <c r="X100" s="866">
        <f>'Ввод исходных данных'!$Y$230*1000</f>
        <v>8455</v>
      </c>
      <c r="Y100" s="810">
        <f>Y102+Y104+Y106+Y111</f>
        <v>16705.666666666664</v>
      </c>
      <c r="Z100" s="866">
        <f>'Ввод исходных данных'!$Y$231*1000</f>
        <v>8233.9999999999982</v>
      </c>
      <c r="AA100" s="810">
        <f>AA102+AA104+AA106+AA111</f>
        <v>16705.666666666664</v>
      </c>
      <c r="AB100" s="866">
        <f>'Ввод исходных данных'!$Y$232*1000</f>
        <v>8128</v>
      </c>
      <c r="AC100" s="810">
        <f>AC102+AC104+AC106+AC111</f>
        <v>16705.666666666664</v>
      </c>
      <c r="AD100" s="866">
        <f>'Ввод исходных данных'!$Y$233*1000</f>
        <v>6600</v>
      </c>
      <c r="AE100" s="810">
        <f>AE102+AE104+AE106+AE111</f>
        <v>16705.666666666664</v>
      </c>
      <c r="AF100" s="866">
        <f>'Ввод исходных данных'!$Y$234*1000</f>
        <v>5180.3600000000006</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v>
      </c>
      <c r="P101" s="874">
        <f>P103+P105+P107+P112</f>
        <v>100</v>
      </c>
      <c r="Q101" s="873">
        <f>Q103+Q105+Q107+Q112</f>
        <v>100</v>
      </c>
      <c r="R101" s="874">
        <f>R103+R105+R107+R112</f>
        <v>100</v>
      </c>
      <c r="S101" s="873">
        <f>S103+S105+S107+S112</f>
        <v>100</v>
      </c>
      <c r="T101" s="874">
        <f>T103+T105+T107+T112</f>
        <v>100</v>
      </c>
      <c r="U101" s="873">
        <f>U103+U105+U107+U112</f>
        <v>100</v>
      </c>
      <c r="V101" s="874">
        <f>V103+V105+V107+V112</f>
        <v>100</v>
      </c>
      <c r="W101" s="873">
        <f>W103+W105+W107+W112</f>
        <v>100</v>
      </c>
      <c r="X101" s="874">
        <f>X103+X105+X107+X112</f>
        <v>100</v>
      </c>
      <c r="Y101" s="873">
        <f>Y103+Y105+Y107+Y112</f>
        <v>100</v>
      </c>
      <c r="Z101" s="874">
        <f>Z103+Z105+Z107+Z112</f>
        <v>100</v>
      </c>
      <c r="AA101" s="873">
        <f>AA103+AA105+AA107+AA112</f>
        <v>100</v>
      </c>
      <c r="AB101" s="874">
        <f>AB103+AB105+AB107+AB112</f>
        <v>100</v>
      </c>
      <c r="AC101" s="873">
        <f>AC103+AC105+AC107+AC112</f>
        <v>100</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6" t="s">
        <v>1226</v>
      </c>
      <c r="B102" s="877" t="s">
        <v>842</v>
      </c>
      <c r="C102" s="878">
        <f>SUM('Система электроснабжения'!B18:B22)</f>
        <v>90468</v>
      </c>
      <c r="D102" s="879">
        <f>'Ввод исходных данных'!Z235*1000</f>
        <v>48896.332085320333</v>
      </c>
      <c r="E102" s="74"/>
      <c r="F102" s="74"/>
      <c r="G102" s="880" t="s">
        <v>1226</v>
      </c>
      <c r="H102" s="881" t="s">
        <v>842</v>
      </c>
      <c r="I102" s="882">
        <f>$C$102/12</f>
        <v>7539</v>
      </c>
      <c r="J102" s="875">
        <f>'Ввод исходных данных'!$Z$223*1000</f>
        <v>6819.3524552547042</v>
      </c>
      <c r="K102" s="882">
        <f>$C$102/12</f>
        <v>7539</v>
      </c>
      <c r="L102" s="875">
        <f>'Ввод исходных данных'!$Z$224*1000</f>
        <v>1403.0419418560568</v>
      </c>
      <c r="M102" s="882">
        <f>$C$102/12</f>
        <v>7539</v>
      </c>
      <c r="N102" s="875">
        <f>'Ввод исходных данных'!$Z$225*1000</f>
        <v>6983.1685456032892</v>
      </c>
      <c r="O102" s="882">
        <f>$C$102/12</f>
        <v>7539</v>
      </c>
      <c r="P102" s="875">
        <f>'Ввод исходных данных'!$Z$226*1000</f>
        <v>5229.4789392820803</v>
      </c>
      <c r="Q102" s="882">
        <f>$C$102/12</f>
        <v>7539</v>
      </c>
      <c r="R102" s="875">
        <f>'Ввод исходных данных'!$Z$227*1000</f>
        <v>4711.8561965001891</v>
      </c>
      <c r="S102" s="882">
        <f>$C$102/12</f>
        <v>7539</v>
      </c>
      <c r="T102" s="875">
        <f>'Ввод исходных данных'!$Z$228*1000</f>
        <v>3666.6824630364945</v>
      </c>
      <c r="U102" s="882">
        <f>$C$102/12</f>
        <v>7539</v>
      </c>
      <c r="V102" s="875">
        <f>'Ввод исходных данных'!$Z$229*1000</f>
        <v>3566.9487000419017</v>
      </c>
      <c r="W102" s="882">
        <f>$C$102/12</f>
        <v>7539</v>
      </c>
      <c r="X102" s="875">
        <f>'Ввод исходных данных'!$Z$230*1000</f>
        <v>3815.6061815352077</v>
      </c>
      <c r="Y102" s="882">
        <f>$C$102/12</f>
        <v>7539</v>
      </c>
      <c r="Z102" s="875">
        <f>'Ввод исходных данных'!$Z$231*1000</f>
        <v>3715.8724185406145</v>
      </c>
      <c r="AA102" s="882">
        <f>$C$102/12</f>
        <v>7539</v>
      </c>
      <c r="AB102" s="875">
        <f>'Ввод исходных данных'!$Z$232*1000</f>
        <v>3668.0363150228468</v>
      </c>
      <c r="AC102" s="882">
        <f>$C$102/12</f>
        <v>7539</v>
      </c>
      <c r="AD102" s="875">
        <f>'Ввод исходных данных'!$Z$233*1000</f>
        <v>2978.4743699742603</v>
      </c>
      <c r="AE102" s="882">
        <f>$C$102/12</f>
        <v>7539</v>
      </c>
      <c r="AF102" s="875">
        <f>'Ввод исходных данных'!$Z$234*1000</f>
        <v>2337.8135586727062</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58" t="s">
        <v>874</v>
      </c>
      <c r="B103" s="877" t="s">
        <v>1181</v>
      </c>
      <c r="C103" s="883">
        <f>C102/$C$100</f>
        <v>0.45128399545064551</v>
      </c>
      <c r="D103" s="884">
        <f>D102/$D$100</f>
        <v>0.45128399545064546</v>
      </c>
      <c r="E103" s="74"/>
      <c r="F103" s="74"/>
      <c r="G103" s="539" t="s">
        <v>874</v>
      </c>
      <c r="H103" s="881" t="s">
        <v>1181</v>
      </c>
      <c r="I103" s="882">
        <f t="shared" ref="I103:AF103" si="194">(I102/I100)*100</f>
        <v>45.128399545064553</v>
      </c>
      <c r="J103" s="885">
        <f t="shared" si="194"/>
        <v>45.128399545064553</v>
      </c>
      <c r="K103" s="886">
        <f t="shared" si="194"/>
        <v>45.128399545064553</v>
      </c>
      <c r="L103" s="887">
        <f t="shared" si="194"/>
        <v>45.128399545064553</v>
      </c>
      <c r="M103" s="886">
        <f t="shared" si="194"/>
        <v>45.128399545064553</v>
      </c>
      <c r="N103" s="887">
        <f t="shared" si="194"/>
        <v>45.128399545064553</v>
      </c>
      <c r="O103" s="886">
        <f t="shared" si="194"/>
        <v>45.128399545064553</v>
      </c>
      <c r="P103" s="887">
        <f t="shared" si="194"/>
        <v>45.128399545064553</v>
      </c>
      <c r="Q103" s="886">
        <f t="shared" si="194"/>
        <v>45.128399545064553</v>
      </c>
      <c r="R103" s="887">
        <f t="shared" si="194"/>
        <v>45.128399545064553</v>
      </c>
      <c r="S103" s="886">
        <f t="shared" si="194"/>
        <v>45.128399545064553</v>
      </c>
      <c r="T103" s="887">
        <f t="shared" si="194"/>
        <v>45.128399545064546</v>
      </c>
      <c r="U103" s="886">
        <f t="shared" si="194"/>
        <v>45.128399545064553</v>
      </c>
      <c r="V103" s="887">
        <f t="shared" si="194"/>
        <v>45.128399545064546</v>
      </c>
      <c r="W103" s="886">
        <f t="shared" si="194"/>
        <v>45.128399545064553</v>
      </c>
      <c r="X103" s="887">
        <f t="shared" si="194"/>
        <v>45.128399545064553</v>
      </c>
      <c r="Y103" s="886">
        <f t="shared" si="194"/>
        <v>45.128399545064553</v>
      </c>
      <c r="Z103" s="887">
        <f t="shared" si="194"/>
        <v>45.128399545064553</v>
      </c>
      <c r="AA103" s="886">
        <f t="shared" si="194"/>
        <v>45.128399545064553</v>
      </c>
      <c r="AB103" s="887">
        <f t="shared" si="194"/>
        <v>45.128399545064553</v>
      </c>
      <c r="AC103" s="886">
        <f t="shared" si="194"/>
        <v>45.128399545064553</v>
      </c>
      <c r="AD103" s="887">
        <f t="shared" si="194"/>
        <v>45.128399545064553</v>
      </c>
      <c r="AE103" s="886">
        <f t="shared" si="194"/>
        <v>45.128399545064553</v>
      </c>
      <c r="AF103" s="887">
        <f t="shared" si="194"/>
        <v>45.128399545064553</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6" t="s">
        <v>1233</v>
      </c>
      <c r="B104" s="877" t="s">
        <v>842</v>
      </c>
      <c r="C104" s="878">
        <f>'Ввод исходных данных'!D140*'Ввод исходных данных'!D141</f>
        <v>110000</v>
      </c>
      <c r="D104" s="879">
        <f>'Ввод исходных данных'!AA235*1000</f>
        <v>59453.027914679646</v>
      </c>
      <c r="E104" s="74"/>
      <c r="F104" s="74"/>
      <c r="G104" s="880" t="s">
        <v>1233</v>
      </c>
      <c r="H104" s="881" t="s">
        <v>842</v>
      </c>
      <c r="I104" s="888">
        <f>C104/12</f>
        <v>9166.6666666666661</v>
      </c>
      <c r="J104" s="615">
        <f>'Ввод исходных данных'!$AA$223*1000</f>
        <v>8291.6475447452958</v>
      </c>
      <c r="K104" s="888">
        <f>I104</f>
        <v>9166.6666666666661</v>
      </c>
      <c r="L104" s="615">
        <f>'Ввод исходных данных'!$AA$224*1000</f>
        <v>1705.9580581439432</v>
      </c>
      <c r="M104" s="888">
        <f>K104</f>
        <v>9166.6666666666661</v>
      </c>
      <c r="N104" s="615">
        <f>'Ввод исходных данных'!$AA$225*1000</f>
        <v>8490.8314543967117</v>
      </c>
      <c r="O104" s="888">
        <f>M104</f>
        <v>9166.6666666666661</v>
      </c>
      <c r="P104" s="615">
        <f>'Ввод исходных данных'!$AA$226*1000</f>
        <v>6358.5210607179197</v>
      </c>
      <c r="Q104" s="888">
        <f>O104</f>
        <v>9166.6666666666661</v>
      </c>
      <c r="R104" s="615">
        <f>'Ввод исходных данных'!$AA$227*1000</f>
        <v>5729.14380349981</v>
      </c>
      <c r="S104" s="888">
        <f>Q104</f>
        <v>9166.6666666666661</v>
      </c>
      <c r="T104" s="615">
        <f>'Ввод исходных данных'!$AA$228*1000</f>
        <v>4458.3175369635046</v>
      </c>
      <c r="U104" s="888">
        <f>S104</f>
        <v>9166.6666666666661</v>
      </c>
      <c r="V104" s="615">
        <f>'Ввод исходных данных'!$AA$229*1000</f>
        <v>4337.0512999580978</v>
      </c>
      <c r="W104" s="888">
        <f>U104</f>
        <v>9166.6666666666661</v>
      </c>
      <c r="X104" s="615">
        <f>'Ввод исходных данных'!$AA$230*1000</f>
        <v>4639.3938184647923</v>
      </c>
      <c r="Y104" s="888">
        <f>W104</f>
        <v>9166.6666666666661</v>
      </c>
      <c r="Z104" s="615">
        <f>'Ввод исходных данных'!$AA$231*1000</f>
        <v>4518.1275814593846</v>
      </c>
      <c r="AA104" s="888">
        <f>Y104</f>
        <v>9166.6666666666661</v>
      </c>
      <c r="AB104" s="615">
        <f>'Ввод исходных данных'!$AA$232*1000</f>
        <v>4459.9636849771532</v>
      </c>
      <c r="AC104" s="888">
        <f>AA104</f>
        <v>9166.6666666666661</v>
      </c>
      <c r="AD104" s="615">
        <f>'Ввод исходных данных'!$AA$233*1000</f>
        <v>3621.5256300257397</v>
      </c>
      <c r="AE104" s="888">
        <f>AC104</f>
        <v>9166.6666666666661</v>
      </c>
      <c r="AF104" s="615">
        <f>'Ввод исходных данных'!$AA$234*1000</f>
        <v>2842.5464413272944</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58" t="s">
        <v>874</v>
      </c>
      <c r="B105" s="877" t="s">
        <v>1181</v>
      </c>
      <c r="C105" s="883">
        <f>C104/$C$100</f>
        <v>0.54871600454935454</v>
      </c>
      <c r="D105" s="884">
        <f>D104/$D$100</f>
        <v>0.54871600454935465</v>
      </c>
      <c r="E105" s="74"/>
      <c r="F105" s="74"/>
      <c r="G105" s="539" t="s">
        <v>874</v>
      </c>
      <c r="H105" s="881" t="s">
        <v>1181</v>
      </c>
      <c r="I105" s="882">
        <f t="shared" ref="I105:AF105" si="195">(I104/I100)*100</f>
        <v>54.871600454935454</v>
      </c>
      <c r="J105" s="885">
        <f t="shared" si="195"/>
        <v>54.871600454935454</v>
      </c>
      <c r="K105" s="886">
        <f t="shared" si="195"/>
        <v>54.871600454935454</v>
      </c>
      <c r="L105" s="887">
        <f t="shared" si="195"/>
        <v>54.871600454935454</v>
      </c>
      <c r="M105" s="886">
        <f t="shared" si="195"/>
        <v>54.871600454935454</v>
      </c>
      <c r="N105" s="887">
        <f t="shared" si="195"/>
        <v>54.871600454935454</v>
      </c>
      <c r="O105" s="886">
        <f t="shared" si="195"/>
        <v>54.871600454935454</v>
      </c>
      <c r="P105" s="887">
        <f t="shared" si="195"/>
        <v>54.871600454935447</v>
      </c>
      <c r="Q105" s="886">
        <f t="shared" si="195"/>
        <v>54.871600454935454</v>
      </c>
      <c r="R105" s="887">
        <f t="shared" si="195"/>
        <v>54.871600454935454</v>
      </c>
      <c r="S105" s="886">
        <f t="shared" si="195"/>
        <v>54.871600454935454</v>
      </c>
      <c r="T105" s="887">
        <f t="shared" si="195"/>
        <v>54.871600454935447</v>
      </c>
      <c r="U105" s="886">
        <f t="shared" si="195"/>
        <v>54.871600454935454</v>
      </c>
      <c r="V105" s="887">
        <f t="shared" si="195"/>
        <v>54.871600454935447</v>
      </c>
      <c r="W105" s="886">
        <f t="shared" si="195"/>
        <v>54.871600454935454</v>
      </c>
      <c r="X105" s="887">
        <f t="shared" si="195"/>
        <v>54.871600454935454</v>
      </c>
      <c r="Y105" s="886">
        <f t="shared" si="195"/>
        <v>54.871600454935454</v>
      </c>
      <c r="Z105" s="887">
        <f t="shared" si="195"/>
        <v>54.871600454935454</v>
      </c>
      <c r="AA105" s="886">
        <f t="shared" si="195"/>
        <v>54.871600454935454</v>
      </c>
      <c r="AB105" s="887">
        <f t="shared" si="195"/>
        <v>54.871600454935447</v>
      </c>
      <c r="AC105" s="886">
        <f t="shared" si="195"/>
        <v>54.871600454935454</v>
      </c>
      <c r="AD105" s="887">
        <f t="shared" si="195"/>
        <v>54.871600454935454</v>
      </c>
      <c r="AE105" s="886">
        <f t="shared" si="195"/>
        <v>54.871600454935454</v>
      </c>
      <c r="AF105" s="887">
        <f t="shared" si="195"/>
        <v>54.871600454935454</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4" t="s">
        <v>1228</v>
      </c>
      <c r="B113" s="825" t="s">
        <v>842</v>
      </c>
      <c r="C113" s="658"/>
      <c r="D113" s="538">
        <f>D100-C100</f>
        <v>-92118.640000000029</v>
      </c>
      <c r="E113" s="74"/>
      <c r="F113" s="74"/>
      <c r="G113" s="824" t="s">
        <v>1229</v>
      </c>
      <c r="H113" s="897" t="s">
        <v>842</v>
      </c>
      <c r="I113" s="898"/>
      <c r="J113" s="899">
        <f>J100-I100</f>
        <v>-1594.6666666666642</v>
      </c>
      <c r="K113" s="900"/>
      <c r="L113" s="901">
        <f>L100-K100</f>
        <v>-13596.666666666664</v>
      </c>
      <c r="M113" s="902"/>
      <c r="N113" s="903">
        <f>N100-M100</f>
        <v>-1231.6666666666642</v>
      </c>
      <c r="O113" s="904"/>
      <c r="P113" s="903">
        <f>P100-O100</f>
        <v>-5117.6666666666642</v>
      </c>
      <c r="Q113" s="902"/>
      <c r="R113" s="903">
        <f>R100-Q100</f>
        <v>-6264.6666666666661</v>
      </c>
      <c r="S113" s="902"/>
      <c r="T113" s="903">
        <f>T100-S100</f>
        <v>-8580.6666666666642</v>
      </c>
      <c r="U113" s="902"/>
      <c r="V113" s="903">
        <f>V100-U100</f>
        <v>-8801.6666666666642</v>
      </c>
      <c r="W113" s="902"/>
      <c r="X113" s="903">
        <f>X100-W100</f>
        <v>-8250.6666666666642</v>
      </c>
      <c r="Y113" s="902"/>
      <c r="Z113" s="903">
        <f>Z100-Y100</f>
        <v>-8471.6666666666661</v>
      </c>
      <c r="AA113" s="902"/>
      <c r="AB113" s="903">
        <f>AB100-AA100</f>
        <v>-8577.6666666666642</v>
      </c>
      <c r="AC113" s="902"/>
      <c r="AD113" s="903">
        <f>AD100-AC100</f>
        <v>-10105.666666666664</v>
      </c>
      <c r="AE113" s="902"/>
      <c r="AF113" s="903">
        <f>AF100-AE100</f>
        <v>-11525.306666666664</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5" t="s">
        <v>874</v>
      </c>
      <c r="B114" s="386" t="s">
        <v>1181</v>
      </c>
      <c r="C114" s="905"/>
      <c r="D114" s="906">
        <f>(D113/C100)*100</f>
        <v>-45.951792804836693</v>
      </c>
      <c r="E114" s="74"/>
      <c r="F114" s="74"/>
      <c r="G114" s="385" t="s">
        <v>874</v>
      </c>
      <c r="H114" s="907" t="s">
        <v>1181</v>
      </c>
      <c r="I114" s="908"/>
      <c r="J114" s="909">
        <f>(J113/I100)*100</f>
        <v>-9.5456631482331211</v>
      </c>
      <c r="K114" s="908"/>
      <c r="L114" s="909">
        <f>(L113/K100)*100</f>
        <v>-81.389548456611521</v>
      </c>
      <c r="M114" s="894"/>
      <c r="N114" s="906">
        <f>(N113/M100)*100</f>
        <v>-7.3727477702176776</v>
      </c>
      <c r="O114" s="894"/>
      <c r="P114" s="906">
        <f>(P113/O100)*100</f>
        <v>-30.634315701259045</v>
      </c>
      <c r="Q114" s="894"/>
      <c r="R114" s="906">
        <f>(R113/Q100)*100</f>
        <v>-37.500249416365705</v>
      </c>
      <c r="S114" s="894"/>
      <c r="T114" s="906">
        <f>(T113/S100)*100</f>
        <v>-51.36380868767084</v>
      </c>
      <c r="U114" s="894"/>
      <c r="V114" s="906">
        <f>(V113/U100)*100</f>
        <v>-52.686713091366201</v>
      </c>
      <c r="W114" s="894"/>
      <c r="X114" s="906">
        <f>(X113/W100)*100</f>
        <v>-49.388431071293162</v>
      </c>
      <c r="Y114" s="894"/>
      <c r="Z114" s="906">
        <f>(Z113/Y100)*100</f>
        <v>-50.71133547498853</v>
      </c>
      <c r="AA114" s="894"/>
      <c r="AB114" s="906">
        <f>(AB113/AA100)*100</f>
        <v>-51.345850709340134</v>
      </c>
      <c r="AC114" s="894"/>
      <c r="AD114" s="906">
        <f>(AD113/AC100)*100</f>
        <v>-60.492447672446467</v>
      </c>
      <c r="AE114" s="894"/>
      <c r="AF114" s="906">
        <f>(AF113/AE100)*100</f>
        <v>-68.990402458247686</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0" t="s">
        <v>1230</v>
      </c>
      <c r="B115" s="911" t="s">
        <v>1190</v>
      </c>
      <c r="C115" s="465">
        <f>C100/('Ввод исходных данных'!$G$45++'Ввод исходных данных'!D23)</f>
        <v>15.87236737925574</v>
      </c>
      <c r="D115" s="465">
        <f>D100/('Ввод исходных данных'!$G$45+'Ввод исходных данных'!D23)</f>
        <v>8.5787300079176543</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25">
      <c r="A134" s="480" t="s">
        <v>514</v>
      </c>
      <c r="B134" s="483">
        <f>'Ввод исходных данных'!G51</f>
        <v>5966</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1.0919540229885059</v>
      </c>
      <c r="D134" s="481">
        <v>1</v>
      </c>
      <c r="E134" s="483">
        <f>IF(C134=0,0,B134/C134*D134)</f>
        <v>5463.5999999999995</v>
      </c>
      <c r="F134" s="484">
        <f>E134*(20-$D$145)</f>
        <v>311425.19999999995</v>
      </c>
      <c r="G134" s="483">
        <f t="shared" ref="G134:R134" si="198">$E$134*0.024*G$147</f>
        <v>151621.45631999997</v>
      </c>
      <c r="H134" s="483">
        <f t="shared" si="198"/>
        <v>131073.94944</v>
      </c>
      <c r="I134" s="483">
        <f t="shared" si="198"/>
        <v>115443.68255999999</v>
      </c>
      <c r="J134" s="483">
        <f t="shared" si="198"/>
        <v>70021.497599999988</v>
      </c>
      <c r="K134" s="483">
        <f t="shared" si="198"/>
        <v>5251.6123200000002</v>
      </c>
      <c r="L134" s="483">
        <f t="shared" si="198"/>
        <v>0</v>
      </c>
      <c r="M134" s="483">
        <f t="shared" si="198"/>
        <v>0</v>
      </c>
      <c r="N134" s="483">
        <f t="shared" si="198"/>
        <v>0</v>
      </c>
      <c r="O134" s="483">
        <f t="shared" si="198"/>
        <v>5782.6742399999994</v>
      </c>
      <c r="P134" s="483">
        <f t="shared" si="198"/>
        <v>71136.072</v>
      </c>
      <c r="Q134" s="483">
        <f t="shared" si="198"/>
        <v>107785.90079999999</v>
      </c>
      <c r="R134" s="483">
        <f t="shared" si="198"/>
        <v>140239.68479999999</v>
      </c>
      <c r="S134" s="74"/>
      <c r="T134" s="74"/>
      <c r="U134" s="74"/>
      <c r="V134" s="74"/>
      <c r="W134" s="74"/>
      <c r="X134" s="74"/>
      <c r="Y134" s="74"/>
      <c r="Z134" s="74"/>
      <c r="AA134" s="74"/>
      <c r="AB134" s="74"/>
      <c r="AC134" s="74"/>
      <c r="AD134" s="74"/>
      <c r="AE134" s="74"/>
      <c r="AF134" s="74"/>
      <c r="AG134" s="74"/>
      <c r="AH134" s="74"/>
    </row>
    <row r="135" spans="1:67" x14ac:dyDescent="0.25">
      <c r="A135" s="480" t="s">
        <v>611</v>
      </c>
      <c r="B135" s="483">
        <f>'Ввод исходных данных'!G53</f>
        <v>1950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0.75076923076923086</v>
      </c>
      <c r="D135" s="481">
        <v>1</v>
      </c>
      <c r="E135" s="483">
        <f t="shared" ref="E135:E138" si="199">IF(C135=0,0,B135/C135*D135)</f>
        <v>2597.3360655737702</v>
      </c>
      <c r="F135" s="484">
        <f t="shared" ref="F135:F143" si="200">E135*(20-$D$145)</f>
        <v>148048.15573770489</v>
      </c>
      <c r="G135" s="483">
        <f t="shared" ref="G135:R135" si="201">$E$135*0.024*G$147</f>
        <v>72079.19262295081</v>
      </c>
      <c r="H135" s="483">
        <f t="shared" si="201"/>
        <v>62311.131147540982</v>
      </c>
      <c r="I135" s="483">
        <f t="shared" si="201"/>
        <v>54880.672131147534</v>
      </c>
      <c r="J135" s="483">
        <f t="shared" si="201"/>
        <v>33287.459016393441</v>
      </c>
      <c r="K135" s="483">
        <f t="shared" si="201"/>
        <v>2496.5594262295081</v>
      </c>
      <c r="L135" s="483">
        <f t="shared" si="201"/>
        <v>0</v>
      </c>
      <c r="M135" s="483">
        <f t="shared" si="201"/>
        <v>0</v>
      </c>
      <c r="N135" s="483">
        <f t="shared" si="201"/>
        <v>0</v>
      </c>
      <c r="O135" s="483">
        <f t="shared" si="201"/>
        <v>2749.0204918032782</v>
      </c>
      <c r="P135" s="483">
        <f t="shared" si="201"/>
        <v>33817.315573770487</v>
      </c>
      <c r="Q135" s="483">
        <f t="shared" si="201"/>
        <v>51240.24590163934</v>
      </c>
      <c r="R135" s="483">
        <f t="shared" si="201"/>
        <v>66668.422131147527</v>
      </c>
      <c r="S135" s="74"/>
      <c r="T135" s="74"/>
      <c r="U135" s="74"/>
      <c r="V135" s="74"/>
      <c r="W135" s="74"/>
      <c r="X135" s="74"/>
      <c r="Y135" s="74"/>
      <c r="Z135" s="74"/>
      <c r="AA135" s="74"/>
      <c r="AB135" s="74"/>
      <c r="AC135" s="74"/>
      <c r="AD135" s="74"/>
      <c r="AE135" s="74"/>
      <c r="AF135" s="74"/>
      <c r="AG135" s="74"/>
      <c r="AH135" s="74"/>
    </row>
    <row r="136" spans="1:67" x14ac:dyDescent="0.25">
      <c r="A136" s="480" t="s">
        <v>612</v>
      </c>
      <c r="B136" s="483">
        <f>'Ввод исходных данных'!G56</f>
        <v>72</v>
      </c>
      <c r="C136" s="912">
        <f>IF('Ввод исходных данных'!D72=0,0.4*(1-'Ввод исходных данных'!$D$34/'Ввод исходных данных'!G55)+0.55*('Ввод исходных данных'!$D$34/'Ввод исходных данных'!G55),'Ввод исходных данных'!D72)</f>
        <v>0.55000000000000004</v>
      </c>
      <c r="D136" s="481">
        <v>1</v>
      </c>
      <c r="E136" s="483">
        <f t="shared" si="199"/>
        <v>130.90909090909091</v>
      </c>
      <c r="F136" s="484">
        <f t="shared" si="200"/>
        <v>7461.818181818182</v>
      </c>
      <c r="G136" s="483">
        <f t="shared" ref="G136:R136" si="202">$E$136*0.024*G$147</f>
        <v>3632.8843636363631</v>
      </c>
      <c r="H136" s="483">
        <f t="shared" si="202"/>
        <v>3140.5614545454546</v>
      </c>
      <c r="I136" s="483">
        <f t="shared" si="202"/>
        <v>2766.0567272727271</v>
      </c>
      <c r="J136" s="483">
        <f t="shared" si="202"/>
        <v>1677.7309090909089</v>
      </c>
      <c r="K136" s="483">
        <f t="shared" si="202"/>
        <v>125.82981818181818</v>
      </c>
      <c r="L136" s="483">
        <f t="shared" si="202"/>
        <v>0</v>
      </c>
      <c r="M136" s="483">
        <f t="shared" si="202"/>
        <v>0</v>
      </c>
      <c r="N136" s="483">
        <f t="shared" si="202"/>
        <v>0</v>
      </c>
      <c r="O136" s="483">
        <f t="shared" si="202"/>
        <v>138.5541818181818</v>
      </c>
      <c r="P136" s="483">
        <f t="shared" si="202"/>
        <v>1704.4363636363635</v>
      </c>
      <c r="Q136" s="483">
        <f t="shared" si="202"/>
        <v>2582.5745454545454</v>
      </c>
      <c r="R136" s="483">
        <f t="shared" si="202"/>
        <v>3360.1745454545453</v>
      </c>
      <c r="S136" s="74"/>
      <c r="T136" s="74"/>
      <c r="U136" s="74"/>
      <c r="V136" s="74"/>
      <c r="W136" s="74"/>
      <c r="X136" s="74"/>
      <c r="Y136" s="74"/>
      <c r="Z136" s="74"/>
      <c r="AA136" s="74"/>
      <c r="AB136" s="74"/>
      <c r="AC136" s="74"/>
      <c r="AD136" s="74"/>
      <c r="AE136" s="74"/>
      <c r="AF136" s="74"/>
      <c r="AG136" s="74"/>
      <c r="AH136" s="74"/>
    </row>
    <row r="137" spans="1:67" x14ac:dyDescent="0.25">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25">
      <c r="A138" s="480" t="s">
        <v>1329</v>
      </c>
      <c r="B138" s="483">
        <f>'Ввод исходных данных'!G60</f>
        <v>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0</v>
      </c>
      <c r="F138" s="484">
        <f t="shared" si="200"/>
        <v>0</v>
      </c>
      <c r="G138" s="483">
        <f t="shared" ref="G138:R138" si="205">$E$138*0.024*G$147</f>
        <v>0</v>
      </c>
      <c r="H138" s="483">
        <f t="shared" si="205"/>
        <v>0</v>
      </c>
      <c r="I138" s="483">
        <f t="shared" si="205"/>
        <v>0</v>
      </c>
      <c r="J138" s="483">
        <f t="shared" si="205"/>
        <v>0</v>
      </c>
      <c r="K138" s="483">
        <f t="shared" si="205"/>
        <v>0</v>
      </c>
      <c r="L138" s="483">
        <f t="shared" si="205"/>
        <v>0</v>
      </c>
      <c r="M138" s="483">
        <f t="shared" si="205"/>
        <v>0</v>
      </c>
      <c r="N138" s="483">
        <f t="shared" si="205"/>
        <v>0</v>
      </c>
      <c r="O138" s="483">
        <f t="shared" si="205"/>
        <v>0</v>
      </c>
      <c r="P138" s="483">
        <f t="shared" si="205"/>
        <v>0</v>
      </c>
      <c r="Q138" s="483">
        <f t="shared" si="205"/>
        <v>0</v>
      </c>
      <c r="R138" s="483">
        <f t="shared" si="205"/>
        <v>0</v>
      </c>
      <c r="S138" s="74"/>
      <c r="T138" s="74"/>
      <c r="U138" s="74"/>
      <c r="V138" s="74"/>
      <c r="W138" s="74"/>
      <c r="X138" s="74"/>
      <c r="Y138" s="74"/>
      <c r="Z138" s="74"/>
      <c r="AA138" s="74"/>
      <c r="AB138" s="74"/>
      <c r="AC138" s="74"/>
      <c r="AD138" s="74"/>
      <c r="AE138" s="74"/>
      <c r="AF138" s="74"/>
      <c r="AG138" s="74"/>
      <c r="AH138" s="74"/>
    </row>
    <row r="139" spans="1:67" x14ac:dyDescent="0.25">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1.0919540229885059</v>
      </c>
      <c r="D139" s="914">
        <f>(20-'Расчет базового уровня'!$D$159)/(20-'Расчет базового уровня'!$D$145)</f>
        <v>7.0175438596491224E-2</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25">
      <c r="A140" s="480" t="s">
        <v>1331</v>
      </c>
      <c r="B140" s="483">
        <f>'Ввод исходных данных'!G61</f>
        <v>1460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1.0919540229885059</v>
      </c>
      <c r="D140" s="481">
        <v>0.9</v>
      </c>
      <c r="E140" s="483">
        <f>IF(C140=0,0,B140/C140*D140)</f>
        <v>1203.3473684210526</v>
      </c>
      <c r="F140" s="484">
        <f t="shared" si="200"/>
        <v>68590.8</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25">
      <c r="A141" s="480" t="s">
        <v>1332</v>
      </c>
      <c r="B141" s="483">
        <f>'Ввод исходных данных'!G64</f>
        <v>0</v>
      </c>
      <c r="C141" s="482">
        <f>IF('Ввод исходных данных'!D75=0,'Серии теплотехника'!B51+IF(списки!D37=1,1,0),'Ввод исходных данных'!D75)</f>
        <v>1.0919540229885059</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x14ac:dyDescent="0.25">
      <c r="A142" s="480" t="s">
        <v>1328</v>
      </c>
      <c r="B142" s="483">
        <f>'Ввод исходных данных'!G63</f>
        <v>1460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0.65517241379310354</v>
      </c>
      <c r="D142" s="486">
        <f>('Ввод исходных данных'!D83-'Расчет базового уровня'!$D$160)/('Ввод исходных данных'!D83-'Расчет базового уровня'!$D$145)</f>
        <v>0.31578947368421051</v>
      </c>
      <c r="E142" s="483">
        <f>IF(C142=0,0,B142/C142*D142)</f>
        <v>703.71191135734057</v>
      </c>
      <c r="F142" s="484">
        <f t="shared" si="200"/>
        <v>40111.578947368413</v>
      </c>
      <c r="G142" s="483">
        <f>$E$142*0.024*G$147</f>
        <v>19528.84999445983</v>
      </c>
      <c r="H142" s="483">
        <f>$E$142*0.024*H$147</f>
        <v>16882.330238227147</v>
      </c>
      <c r="I142" s="483">
        <f t="shared" ref="I142:R142" si="208">$E$142*0.024*I$147</f>
        <v>14869.151202216064</v>
      </c>
      <c r="J142" s="483">
        <f t="shared" si="208"/>
        <v>9018.7718559556779</v>
      </c>
      <c r="K142" s="483">
        <f t="shared" si="208"/>
        <v>676.40788919667591</v>
      </c>
      <c r="L142" s="483">
        <f t="shared" si="208"/>
        <v>0</v>
      </c>
      <c r="M142" s="483">
        <f t="shared" si="208"/>
        <v>0</v>
      </c>
      <c r="N142" s="483">
        <f t="shared" si="208"/>
        <v>0</v>
      </c>
      <c r="O142" s="483">
        <f t="shared" si="208"/>
        <v>744.80868698060931</v>
      </c>
      <c r="P142" s="483">
        <f t="shared" si="208"/>
        <v>9162.3290858725741</v>
      </c>
      <c r="Q142" s="483">
        <f t="shared" si="208"/>
        <v>13882.828587257616</v>
      </c>
      <c r="R142" s="483">
        <f t="shared" si="208"/>
        <v>18062.877340720217</v>
      </c>
      <c r="S142" s="74"/>
      <c r="T142" s="74"/>
      <c r="U142" s="74"/>
      <c r="V142" s="74"/>
      <c r="W142" s="74"/>
      <c r="X142" s="74"/>
      <c r="Y142" s="74"/>
      <c r="Z142" s="74"/>
      <c r="AA142" s="74"/>
      <c r="AB142" s="74"/>
      <c r="AC142" s="74"/>
      <c r="AD142" s="74"/>
      <c r="AE142" s="74"/>
      <c r="AF142" s="74"/>
      <c r="AG142" s="74"/>
      <c r="AH142" s="74"/>
    </row>
    <row r="143" spans="1:67" x14ac:dyDescent="0.25">
      <c r="A143" s="480" t="s">
        <v>1231</v>
      </c>
      <c r="B143" s="483">
        <f>'Ввод исходных данных'!G66</f>
        <v>12</v>
      </c>
      <c r="C143" s="916">
        <f>IF('Ввод исходных данных'!D76=0,IF(списки!D35=0,0.5,0.95),'Ввод исходных данных'!D76)</f>
        <v>0.5</v>
      </c>
      <c r="D143" s="486">
        <v>1</v>
      </c>
      <c r="E143" s="483">
        <f>IF(C143=0,0,B143/C143*D143)</f>
        <v>24</v>
      </c>
      <c r="F143" s="484">
        <f t="shared" si="200"/>
        <v>1368</v>
      </c>
      <c r="G143" s="483">
        <f>$E$143*0.024*G$147</f>
        <v>666.02880000000005</v>
      </c>
      <c r="H143" s="483">
        <f t="shared" ref="H143:R143" si="209">$E$143*0.024*H$147</f>
        <v>575.7696000000002</v>
      </c>
      <c r="I143" s="483">
        <f t="shared" si="209"/>
        <v>507.11040000000003</v>
      </c>
      <c r="J143" s="483">
        <f t="shared" si="209"/>
        <v>307.58400000000006</v>
      </c>
      <c r="K143" s="483">
        <f t="shared" si="209"/>
        <v>23.068800000000007</v>
      </c>
      <c r="L143" s="483">
        <f t="shared" si="209"/>
        <v>0</v>
      </c>
      <c r="M143" s="483">
        <f t="shared" si="209"/>
        <v>0</v>
      </c>
      <c r="N143" s="483">
        <f t="shared" si="209"/>
        <v>0</v>
      </c>
      <c r="O143" s="483">
        <f t="shared" si="209"/>
        <v>25.401600000000006</v>
      </c>
      <c r="P143" s="483">
        <f t="shared" si="209"/>
        <v>312.48</v>
      </c>
      <c r="Q143" s="483">
        <f t="shared" si="209"/>
        <v>473.47200000000004</v>
      </c>
      <c r="R143" s="483">
        <f t="shared" si="209"/>
        <v>616.03200000000004</v>
      </c>
      <c r="S143" s="74"/>
      <c r="T143" s="74"/>
      <c r="U143" s="74"/>
      <c r="V143" s="74"/>
      <c r="W143" s="74"/>
      <c r="X143" s="74"/>
      <c r="Y143" s="74"/>
      <c r="Z143" s="74"/>
      <c r="AA143" s="74"/>
      <c r="AB143" s="74"/>
      <c r="AC143" s="74"/>
      <c r="AD143" s="74"/>
      <c r="AE143" s="74"/>
      <c r="AF143" s="74"/>
      <c r="AG143" s="74"/>
      <c r="AH143" s="74"/>
    </row>
    <row r="144" spans="1:67" x14ac:dyDescent="0.25">
      <c r="A144" s="480" t="s">
        <v>515</v>
      </c>
      <c r="B144" s="483">
        <f>SUM(B134:B141)</f>
        <v>9448</v>
      </c>
      <c r="C144" s="916"/>
      <c r="D144" s="481"/>
      <c r="E144" s="483">
        <f>SUM(E134:E143)</f>
        <v>10122.904436261253</v>
      </c>
      <c r="F144" s="484">
        <f>E144*(20-$D$145)/1000</f>
        <v>577.00555286689132</v>
      </c>
      <c r="G144" s="483">
        <f>SUM(G134:G143)</f>
        <v>247528.41210104697</v>
      </c>
      <c r="H144" s="483">
        <f t="shared" ref="H144:R144" si="210">SUM(H134:H143)</f>
        <v>213983.74188031358</v>
      </c>
      <c r="I144" s="483">
        <f t="shared" si="210"/>
        <v>188466.67302063631</v>
      </c>
      <c r="J144" s="483">
        <f t="shared" si="210"/>
        <v>114313.04338144003</v>
      </c>
      <c r="K144" s="483">
        <f t="shared" si="210"/>
        <v>8573.478253608002</v>
      </c>
      <c r="L144" s="483">
        <f t="shared" si="210"/>
        <v>0</v>
      </c>
      <c r="M144" s="483">
        <f t="shared" si="210"/>
        <v>0</v>
      </c>
      <c r="N144" s="483">
        <f t="shared" si="210"/>
        <v>0</v>
      </c>
      <c r="O144" s="483">
        <f t="shared" si="210"/>
        <v>9440.4592006020666</v>
      </c>
      <c r="P144" s="483">
        <f t="shared" si="210"/>
        <v>116132.63302327941</v>
      </c>
      <c r="Q144" s="483">
        <f t="shared" si="210"/>
        <v>175965.02183435153</v>
      </c>
      <c r="R144" s="483">
        <f t="shared" si="210"/>
        <v>228947.19081732229</v>
      </c>
      <c r="S144" s="74"/>
      <c r="T144" s="74"/>
      <c r="U144" s="74"/>
      <c r="V144" s="74"/>
      <c r="W144" s="74"/>
      <c r="X144" s="74"/>
      <c r="Y144" s="74"/>
      <c r="Z144" s="74"/>
      <c r="AA144" s="74"/>
      <c r="AB144" s="74"/>
      <c r="AC144" s="74"/>
      <c r="AD144" s="74"/>
      <c r="AE144" s="74"/>
      <c r="AF144" s="74"/>
      <c r="AG144" s="74"/>
      <c r="AH144" s="74"/>
    </row>
    <row r="145" spans="1:34" x14ac:dyDescent="0.25">
      <c r="A145" s="74"/>
      <c r="B145" s="488" t="s">
        <v>742</v>
      </c>
      <c r="C145" s="489" t="s">
        <v>747</v>
      </c>
      <c r="D145" s="481">
        <f>VLOOKUP(CONCATENATE('Ввод исходных данных'!$D$10,'Ввод исходных данных'!$D$11),Климатология!$D$9:$BF$548,4,0)</f>
        <v>-37</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88" t="s">
        <v>529</v>
      </c>
      <c r="C146" s="489" t="s">
        <v>748</v>
      </c>
      <c r="D146" s="481">
        <f>VLOOKUP(CONCATENATE('Ввод исходных данных'!$D$10,'Ввод исходных данных'!$D$11),Климатология!$D$9:$BF$548,2,0)</f>
        <v>221</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4.5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4.5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25">
      <c r="A147" s="74"/>
      <c r="B147" s="488" t="s">
        <v>462</v>
      </c>
      <c r="C147" s="489" t="s">
        <v>749</v>
      </c>
      <c r="D147" s="481">
        <f>VLOOKUP(CONCATENATE('Ввод исходных данных'!$D$10,'Ввод исходных данных'!$D$11),Климатология!$D$9:$BF$548,6,0)</f>
        <v>6210.1</v>
      </c>
      <c r="E147" s="74"/>
      <c r="F147" s="317"/>
      <c r="G147" s="490">
        <f>VLOOKUP(CONCATENATE('Ввод исходных данных'!$D$10,'Ввод исходных данных'!$D$11),Климатология!$D$9:$BF$548,G130+3,0)</f>
        <v>1156.3</v>
      </c>
      <c r="H147" s="490">
        <f>VLOOKUP(CONCATENATE('Ввод исходных данных'!$D$10,'Ввод исходных данных'!$D$11),Климатология!$D$9:$BF$548,H130+3,0)</f>
        <v>999.60000000000014</v>
      </c>
      <c r="I147" s="490">
        <f>VLOOKUP(CONCATENATE('Ввод исходных данных'!$D$10,'Ввод исходных данных'!$D$11),Климатология!$D$9:$BF$548,I130+3,0)</f>
        <v>880.4</v>
      </c>
      <c r="J147" s="490">
        <f>VLOOKUP(CONCATENATE('Ввод исходных данных'!$D$10,'Ввод исходных данных'!$D$11),Климатология!$D$9:$BF$548,J130+3,0)</f>
        <v>534</v>
      </c>
      <c r="K147" s="490">
        <f>VLOOKUP(CONCATENATE('Ввод исходных данных'!$D$10,'Ввод исходных данных'!$D$11),Климатология!$D$9:$BF$548,K130+3,0)</f>
        <v>40.050000000000004</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44.1</v>
      </c>
      <c r="P147" s="490">
        <f>VLOOKUP(CONCATENATE('Ввод исходных данных'!$D$10,'Ввод исходных данных'!$D$11),Климатология!$D$9:$BF$548,P130+3,0)</f>
        <v>542.5</v>
      </c>
      <c r="Q147" s="490">
        <f>VLOOKUP(CONCATENATE('Ввод исходных данных'!$D$10,'Ввод исходных данных'!$D$11),Климатология!$D$9:$BF$548,Q130+3,0)</f>
        <v>822</v>
      </c>
      <c r="R147" s="490">
        <f>VLOOKUP(CONCATENATE('Ввод исходных данных'!$D$10,'Ввод исходных данных'!$D$11),Климатология!$D$9:$BF$548,R130+3,0)</f>
        <v>1069.5</v>
      </c>
      <c r="S147" s="74"/>
      <c r="T147" s="74"/>
      <c r="U147" s="74"/>
      <c r="V147" s="74"/>
      <c r="W147" s="74"/>
      <c r="X147" s="74"/>
      <c r="Y147" s="74"/>
      <c r="Z147" s="74"/>
      <c r="AA147" s="74"/>
      <c r="AB147" s="74"/>
      <c r="AC147" s="74"/>
      <c r="AD147" s="74"/>
      <c r="AE147" s="74"/>
      <c r="AF147" s="74"/>
      <c r="AG147" s="74"/>
      <c r="AH147" s="74"/>
    </row>
    <row r="148" spans="1:34" x14ac:dyDescent="0.25">
      <c r="A148" s="491" t="s">
        <v>497</v>
      </c>
      <c r="B148" s="492" t="s">
        <v>531</v>
      </c>
      <c r="C148" s="493" t="s">
        <v>498</v>
      </c>
      <c r="D148" s="494">
        <f>IF(D149&gt;45,10,IF(D149&lt;=20,17,17-(D149-20)*7/25))</f>
        <v>16.802622950819671</v>
      </c>
      <c r="E148" s="74"/>
      <c r="F148" s="495">
        <f>17*D150/1000</f>
        <v>153</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25">
      <c r="A149" s="491" t="s">
        <v>499</v>
      </c>
      <c r="B149" s="492" t="s">
        <v>500</v>
      </c>
      <c r="C149" s="493" t="s">
        <v>501</v>
      </c>
      <c r="D149" s="496">
        <f>'Ввод исходных данных'!$G$45/'Ввод исходных данных'!$D$22</f>
        <v>20.704918032786885</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25">
      <c r="A150" s="476" t="s">
        <v>1403</v>
      </c>
      <c r="B150" s="492" t="s">
        <v>1404</v>
      </c>
      <c r="C150" s="497" t="s">
        <v>492</v>
      </c>
      <c r="D150" s="496">
        <f>'Ввод исходных данных'!G46</f>
        <v>9000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498" t="s">
        <v>512</v>
      </c>
      <c r="B151" s="499" t="s">
        <v>522</v>
      </c>
      <c r="C151" s="497" t="s">
        <v>526</v>
      </c>
      <c r="D151" s="500">
        <v>30</v>
      </c>
      <c r="E151" s="74"/>
      <c r="F151" s="495">
        <f>(D151*D152*'Ввод исходных данных'!$D$22*0.28+D189*0.28)*1.006*0.001*(20+25)+E161*(20+25)</f>
        <v>282.94293464065913</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1" t="s">
        <v>527</v>
      </c>
      <c r="B158" s="492" t="s">
        <v>532</v>
      </c>
      <c r="C158" s="489" t="s">
        <v>746</v>
      </c>
      <c r="D158" s="919">
        <f>SUMPRODUCT('Система отопления'!B23:B28,'Система отопления'!C23:C28)</f>
        <v>1.1299999999999999</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6" t="s">
        <v>905</v>
      </c>
      <c r="B167" s="507" t="s">
        <v>1474</v>
      </c>
      <c r="C167" s="489" t="s">
        <v>906</v>
      </c>
      <c r="D167" s="508">
        <f>D168*365/(D146+D169*(D170-D146))</f>
        <v>97.189349112426029</v>
      </c>
      <c r="E167" s="74"/>
      <c r="F167" s="317">
        <f>SUMPRODUCT(G167:R167,G170:R170)/365</f>
        <v>89.760355029585796</v>
      </c>
      <c r="G167" s="508">
        <f>IF(G146&gt;=0.8*G165,$D$167,$D$169*$D$167)</f>
        <v>97.189349112426029</v>
      </c>
      <c r="H167" s="508">
        <f t="shared" ref="H167:R167" si="211">IF(H146&gt;=0.8*H165,$D$167,$D$169*$D$167)</f>
        <v>97.189349112426029</v>
      </c>
      <c r="I167" s="508">
        <f t="shared" si="211"/>
        <v>97.189349112426029</v>
      </c>
      <c r="J167" s="508">
        <f t="shared" si="211"/>
        <v>97.189349112426029</v>
      </c>
      <c r="K167" s="508">
        <f t="shared" si="211"/>
        <v>87.470414201183431</v>
      </c>
      <c r="L167" s="508">
        <f t="shared" si="211"/>
        <v>87.470414201183431</v>
      </c>
      <c r="M167" s="508">
        <f t="shared" si="211"/>
        <v>87.470414201183431</v>
      </c>
      <c r="N167" s="508">
        <f t="shared" si="211"/>
        <v>87.470414201183431</v>
      </c>
      <c r="O167" s="508">
        <f t="shared" si="211"/>
        <v>87.470414201183431</v>
      </c>
      <c r="P167" s="508">
        <f t="shared" si="211"/>
        <v>97.189349112426029</v>
      </c>
      <c r="Q167" s="508">
        <f t="shared" si="211"/>
        <v>97.189349112426029</v>
      </c>
      <c r="R167" s="508">
        <f t="shared" si="211"/>
        <v>97.189349112426029</v>
      </c>
      <c r="S167" s="74"/>
      <c r="T167" s="74"/>
      <c r="U167" s="74"/>
      <c r="V167" s="74"/>
      <c r="W167" s="74"/>
      <c r="X167" s="74"/>
      <c r="Y167" s="74"/>
      <c r="Z167" s="74"/>
      <c r="AA167" s="74"/>
      <c r="AB167" s="74"/>
      <c r="AC167" s="74"/>
      <c r="AD167" s="74"/>
      <c r="AE167" s="74"/>
    </row>
    <row r="168" spans="1:31" ht="15.75" customHeight="1" x14ac:dyDescent="0.25">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25">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6" t="s">
        <v>908</v>
      </c>
      <c r="B171" s="507" t="s">
        <v>547</v>
      </c>
      <c r="C171" s="489" t="s">
        <v>559</v>
      </c>
      <c r="D171" s="512">
        <f>D167*'Ввод исходных данных'!$D$22/24/1000</f>
        <v>2.470229289940828</v>
      </c>
      <c r="E171" s="74"/>
      <c r="F171" s="74"/>
      <c r="G171" s="512">
        <f>G167*'Ввод исходных данных'!$D$22/24/1000</f>
        <v>2.470229289940828</v>
      </c>
      <c r="H171" s="512">
        <f>H167*'Ввод исходных данных'!$D$22/24/1000</f>
        <v>2.470229289940828</v>
      </c>
      <c r="I171" s="512">
        <f>I167*'Ввод исходных данных'!$D$22/24/1000</f>
        <v>2.470229289940828</v>
      </c>
      <c r="J171" s="512">
        <f>J167*'Ввод исходных данных'!$D$22/24/1000</f>
        <v>2.470229289940828</v>
      </c>
      <c r="K171" s="512">
        <f>K167*'Ввод исходных данных'!$D$22/24/1000</f>
        <v>2.2232063609467456</v>
      </c>
      <c r="L171" s="512">
        <f>L167*'Ввод исходных данных'!$D$22/24/1000</f>
        <v>2.2232063609467456</v>
      </c>
      <c r="M171" s="512">
        <f>M167*'Ввод исходных данных'!$D$22/24/1000</f>
        <v>2.2232063609467456</v>
      </c>
      <c r="N171" s="512">
        <f>N167*'Ввод исходных данных'!$D$22/24/1000</f>
        <v>2.2232063609467456</v>
      </c>
      <c r="O171" s="512">
        <f>O167*'Ввод исходных данных'!$D$22/24/1000</f>
        <v>2.2232063609467456</v>
      </c>
      <c r="P171" s="512">
        <f>P167*'Ввод исходных данных'!$D$22/24/1000</f>
        <v>2.470229289940828</v>
      </c>
      <c r="Q171" s="512">
        <f>Q167*'Ввод исходных данных'!$D$22/24/1000</f>
        <v>2.470229289940828</v>
      </c>
      <c r="R171" s="512">
        <f>R167*'Ввод исходных данных'!$D$22/24/1000</f>
        <v>2.470229289940828</v>
      </c>
      <c r="S171" s="74"/>
      <c r="T171" s="74"/>
      <c r="U171" s="74"/>
      <c r="V171" s="74"/>
      <c r="W171" s="74"/>
      <c r="X171" s="74"/>
      <c r="Y171" s="74"/>
      <c r="Z171" s="74"/>
      <c r="AA171" s="74"/>
      <c r="AB171" s="74"/>
      <c r="AC171" s="74"/>
      <c r="AD171" s="74"/>
      <c r="AE171" s="74"/>
    </row>
    <row r="172" spans="1:31" ht="15.75" customHeight="1" x14ac:dyDescent="0.25">
      <c r="A172" s="506" t="s">
        <v>909</v>
      </c>
      <c r="B172" s="507" t="s">
        <v>548</v>
      </c>
      <c r="C172" s="489" t="s">
        <v>559</v>
      </c>
      <c r="D172" s="512">
        <f>D171*'Система электроснабжения'!$C$55</f>
        <v>9.2538775061438869</v>
      </c>
      <c r="E172" s="74">
        <f>D172*(60-5)*4.2/3.6*1.1</f>
        <v>653.16952064198938</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6" t="s">
        <v>910</v>
      </c>
      <c r="B173" s="507" t="s">
        <v>551</v>
      </c>
      <c r="C173" s="489" t="s">
        <v>513</v>
      </c>
      <c r="D173" s="513">
        <f xml:space="preserve"> (D167*(D174-D175)*(1+D176)*1*D177)/(3.6*24*D178)</f>
        <v>16.240407729289942</v>
      </c>
      <c r="E173" s="74">
        <f>E172*0.86/1000</f>
        <v>0.56172578775211079</v>
      </c>
      <c r="F173" s="74"/>
      <c r="G173" s="513">
        <f xml:space="preserve"> (G167*($D$174-IF(G146&gt;=0.8*G165,$D$175,'Ввод исходных данных'!$D$109))*(1+$D$176)*1*$D$177)/(3.6*24*$D$178)</f>
        <v>16.240407729289942</v>
      </c>
      <c r="H173" s="513">
        <f xml:space="preserve"> (H167*($D$174-IF(H146&gt;=0.8*H165,$D$175,'Ввод исходных данных'!$D$109))*(1+$D$176)*1*$D$177)/(3.6*24*$D$178)</f>
        <v>16.240407729289942</v>
      </c>
      <c r="I173" s="513">
        <f xml:space="preserve"> (I167*($D$174-IF(I146&gt;=0.8*I165,$D$175,'Ввод исходных данных'!$D$109))*(1+$D$176)*1*$D$177)/(3.6*24*$D$178)</f>
        <v>16.240407729289942</v>
      </c>
      <c r="J173" s="513">
        <f xml:space="preserve"> (J167*($D$174-IF(J146&gt;=0.8*J165,$D$175,'Ввод исходных данных'!$D$109))*(1+$D$176)*1*$D$177)/(3.6*24*$D$178)</f>
        <v>16.240407729289942</v>
      </c>
      <c r="K173" s="513">
        <f xml:space="preserve"> (K167*($D$174-IF(K146&gt;=0.8*K165,$D$175,'Ввод исходных данных'!$D$109))*(1+$D$176)*1*$D$177)/(3.6*24*$D$178)</f>
        <v>11.958845691568047</v>
      </c>
      <c r="L173" s="513">
        <f xml:space="preserve"> (L167*($D$174-IF(L146&gt;=0.8*L165,$D$175,'Ввод исходных данных'!$D$109))*(1+$D$176)*1*$D$177)/(3.6*24*$D$178)</f>
        <v>11.958845691568047</v>
      </c>
      <c r="M173" s="513">
        <f xml:space="preserve"> (M167*($D$174-IF(M146&gt;=0.8*M165,$D$175,'Ввод исходных данных'!$D$109))*(1+$D$176)*1*$D$177)/(3.6*24*$D$178)</f>
        <v>11.958845691568047</v>
      </c>
      <c r="N173" s="513">
        <f xml:space="preserve"> (N167*($D$174-IF(N146&gt;=0.8*N165,$D$175,'Ввод исходных данных'!$D$109))*(1+$D$176)*1*$D$177)/(3.6*24*$D$178)</f>
        <v>11.958845691568047</v>
      </c>
      <c r="O173" s="513">
        <f xml:space="preserve"> (O167*($D$174-IF(O146&gt;=0.8*O165,$D$175,'Ввод исходных данных'!$D$109))*(1+$D$176)*1*$D$177)/(3.6*24*$D$178)</f>
        <v>11.958845691568047</v>
      </c>
      <c r="P173" s="513">
        <f xml:space="preserve"> (P167*($D$174-IF(P146&gt;=0.8*P165,$D$175,'Ввод исходных данных'!$D$109))*(1+$D$176)*1*$D$177)/(3.6*24*$D$178)</f>
        <v>16.240407729289942</v>
      </c>
      <c r="Q173" s="513">
        <f xml:space="preserve"> (Q167*($D$174-IF(Q146&gt;=0.8*Q165,$D$175,'Ввод исходных данных'!$D$109))*(1+$D$176)*1*$D$177)/(3.6*24*$D$178)</f>
        <v>16.240407729289942</v>
      </c>
      <c r="R173" s="513">
        <f xml:space="preserve"> (R167*($D$174-IF(R146&gt;=0.8*R165,$D$175,'Ввод исходных данных'!$D$109))*(1+$D$176)*1*$D$177)/(3.6*24*$D$178)</f>
        <v>16.240407729289942</v>
      </c>
      <c r="S173" s="74"/>
      <c r="T173" s="74"/>
      <c r="U173" s="74"/>
      <c r="V173" s="74"/>
      <c r="W173" s="74"/>
      <c r="X173" s="74"/>
      <c r="Y173" s="74"/>
      <c r="Z173" s="74"/>
      <c r="AA173" s="74"/>
      <c r="AB173" s="74"/>
      <c r="AC173" s="74"/>
      <c r="AD173" s="74"/>
      <c r="AE173" s="74"/>
    </row>
    <row r="174" spans="1:31" ht="15.75" customHeight="1" x14ac:dyDescent="0.25">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0" t="s">
        <v>914</v>
      </c>
      <c r="B179" s="515" t="s">
        <v>750</v>
      </c>
      <c r="C179" s="489" t="s">
        <v>562</v>
      </c>
      <c r="D179" s="508">
        <f>'Ввод исходных данных'!G45/'Ввод исходных данных'!D22</f>
        <v>20.704918032786885</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0" t="s">
        <v>1572</v>
      </c>
      <c r="B181" s="515" t="s">
        <v>1573</v>
      </c>
      <c r="C181" s="489" t="s">
        <v>1579</v>
      </c>
      <c r="D181" s="508">
        <f>0.28*'Ввод исходных данных'!$G$49*(D183-D184)+0.03*D183*Климатология!$H$2^2</f>
        <v>19.194841240882983</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0" t="s">
        <v>1575</v>
      </c>
      <c r="B182" s="515" t="s">
        <v>1574</v>
      </c>
      <c r="C182" s="489" t="s">
        <v>1579</v>
      </c>
      <c r="D182" s="508">
        <f>0.55*('Ввод исходных данных'!$G$49-1)*(D183-D184)+0.03*D183*Климатология!$H$2^2</f>
        <v>28.660616399774817</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0" t="s">
        <v>1576</v>
      </c>
      <c r="B183" s="515"/>
      <c r="C183" s="489" t="s">
        <v>1580</v>
      </c>
      <c r="D183" s="508">
        <f>3463/(273+Климатология!$F$2)</f>
        <v>13.072857682144207</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0" t="s">
        <v>1571</v>
      </c>
      <c r="B185" s="515"/>
      <c r="C185" s="489" t="s">
        <v>1581</v>
      </c>
      <c r="D185" s="517">
        <f>0.12*(1-'Ввод исходных данных'!$D$34/'Ввод исходных данных'!$G$55)+0.86*'Ввод исходных данных'!$D$34/'Ввод исходных данных'!$G$55</f>
        <v>0.86</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0" t="s">
        <v>1569</v>
      </c>
      <c r="B187" s="515"/>
      <c r="C187" s="489" t="s">
        <v>1582</v>
      </c>
      <c r="D187" s="508">
        <f>(B136/D185)*(D181/10)^(2/3)</f>
        <v>129.30750384376213</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0" t="s">
        <v>1568</v>
      </c>
      <c r="B188" s="515"/>
      <c r="C188" s="489" t="s">
        <v>1582</v>
      </c>
      <c r="D188" s="508">
        <f>(B143/D186)*(D182/10)^(1/2)</f>
        <v>145.10954274530991</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0" t="s">
        <v>1567</v>
      </c>
      <c r="B189" s="515"/>
      <c r="C189" s="489" t="s">
        <v>1582</v>
      </c>
      <c r="D189" s="508">
        <f>D187+D188</f>
        <v>274.41704658907202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0" t="s">
        <v>1566</v>
      </c>
      <c r="B190" s="515"/>
      <c r="C190" s="489" t="s">
        <v>496</v>
      </c>
      <c r="D190" s="508">
        <f>0.024*$D$187*'Расчет базового уровня'!$D$147*0.28</f>
        <v>5396.2441990473908</v>
      </c>
      <c r="E190" s="74"/>
      <c r="F190" s="74"/>
      <c r="G190" s="508">
        <f>0.024*$D$187*'Расчет базового уровня'!G$147*0.28</f>
        <v>1004.7627521873235</v>
      </c>
      <c r="H190" s="508">
        <f>0.024*$D$187*'Расчет базового уровня'!H$147*0.28</f>
        <v>868.59884725974985</v>
      </c>
      <c r="I190" s="508">
        <f>0.024*$D$187*'Расчет базового уровня'!I$147*0.28</f>
        <v>765.02043330080392</v>
      </c>
      <c r="J190" s="508">
        <f>0.024*$D$187*'Расчет базового уровня'!J$147*0.28</f>
        <v>464.01739139326361</v>
      </c>
      <c r="K190" s="508">
        <f>0.024*$D$187*'Расчет базового уровня'!K$147*0.28</f>
        <v>34.801304354494775</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38.320537379106604</v>
      </c>
      <c r="P190" s="508">
        <f>0.024*$D$187*'Расчет базового уровня'!P$147*0.28</f>
        <v>471.40343601281933</v>
      </c>
      <c r="Q190" s="508">
        <f>0.024*$D$187*'Расчет базового уровня'!Q$147*0.28</f>
        <v>714.27396203232718</v>
      </c>
      <c r="R190" s="508">
        <f>0.024*$D$187*'Расчет базового уровня'!R$147*0.28</f>
        <v>929.33820242527236</v>
      </c>
      <c r="S190" s="74"/>
      <c r="T190" s="74"/>
      <c r="U190" s="74"/>
      <c r="V190" s="74"/>
      <c r="W190" s="74"/>
      <c r="X190" s="74"/>
      <c r="Y190" s="74"/>
      <c r="Z190" s="74"/>
      <c r="AA190" s="74"/>
      <c r="AB190" s="74"/>
      <c r="AC190" s="74"/>
      <c r="AD190" s="74"/>
      <c r="AE190" s="74"/>
    </row>
    <row r="191" spans="1:32" x14ac:dyDescent="0.25">
      <c r="A191" s="510" t="s">
        <v>1565</v>
      </c>
      <c r="B191" s="515"/>
      <c r="C191" s="489" t="s">
        <v>496</v>
      </c>
      <c r="D191" s="508">
        <f>0.024*$D$188*'Расчет базового уровня'!$D$147*0.28</f>
        <v>6055.6928638258032</v>
      </c>
      <c r="E191" s="74"/>
      <c r="F191" s="74"/>
      <c r="G191" s="508">
        <f>0.024*$D$188*'Расчет базового уровня'!G$147*0.28</f>
        <v>1127.5499039374204</v>
      </c>
      <c r="H191" s="508">
        <f>0.024*$D$188*'Расчет базового уровня'!H$147*0.28</f>
        <v>974.74607279758334</v>
      </c>
      <c r="I191" s="508">
        <f>0.024*$D$188*'Расчет базового уровня'!I$147*0.28</f>
        <v>858.50984642956405</v>
      </c>
      <c r="J191" s="508">
        <f>0.024*$D$188*'Расчет базового уровня'!J$147*0.28</f>
        <v>520.72269195068975</v>
      </c>
      <c r="K191" s="508">
        <f>0.024*$D$188*'Расчет базового уровня'!K$147*0.28</f>
        <v>39.054201896301734</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43.003503211658085</v>
      </c>
      <c r="P191" s="508">
        <f>0.024*$D$188*'Расчет базового уровня'!P$147*0.28</f>
        <v>529.01134903230184</v>
      </c>
      <c r="Q191" s="508">
        <f>0.024*$D$188*'Расчет базового уровня'!Q$147*0.28</f>
        <v>801.5618965982527</v>
      </c>
      <c r="R191" s="508">
        <f>0.024*$D$188*'Расчет базового уровня'!R$147*0.28</f>
        <v>1042.9080880922522</v>
      </c>
      <c r="S191" s="74"/>
      <c r="T191" s="74"/>
      <c r="U191" s="74"/>
      <c r="V191" s="74"/>
      <c r="W191" s="74"/>
      <c r="X191" s="74"/>
      <c r="Y191" s="74"/>
      <c r="Z191" s="74"/>
      <c r="AA191" s="74"/>
      <c r="AB191" s="74"/>
      <c r="AC191" s="74"/>
      <c r="AD191" s="74"/>
      <c r="AE191" s="74"/>
    </row>
    <row r="192" spans="1:32" x14ac:dyDescent="0.25">
      <c r="A192" s="510" t="s">
        <v>1564</v>
      </c>
      <c r="B192" s="515"/>
      <c r="C192" s="489" t="s">
        <v>496</v>
      </c>
      <c r="D192" s="508">
        <f>0.024*$D$189*'Расчет базового уровня'!$D$147*0.28</f>
        <v>11451.937062873192</v>
      </c>
      <c r="E192" s="74"/>
      <c r="F192" s="74"/>
      <c r="G192" s="508">
        <f>0.024*$D$189*'Расчет базового уровня'!G$147*0.28</f>
        <v>2132.3126561247436</v>
      </c>
      <c r="H192" s="508">
        <f>0.024*$D$189*'Расчет базового уровня'!H$147*0.28</f>
        <v>1843.344920057333</v>
      </c>
      <c r="I192" s="508">
        <f>0.024*$D$189*'Расчет базового уровня'!I$147*0.28</f>
        <v>1623.530279730368</v>
      </c>
      <c r="J192" s="508">
        <f>0.024*$D$189*'Расчет базового уровня'!J$147*0.28</f>
        <v>984.74008334395319</v>
      </c>
      <c r="K192" s="508">
        <f>0.024*$D$189*'Расчет базового уровня'!K$147*0.28</f>
        <v>73.855506250796509</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81.324040590764696</v>
      </c>
      <c r="P192" s="508">
        <f>0.024*$D$189*'Расчет базового уровня'!P$147*0.28</f>
        <v>1000.4147850451211</v>
      </c>
      <c r="Q192" s="508">
        <f>0.024*$D$189*'Расчет базового уровня'!Q$147*0.28</f>
        <v>1515.8358586305797</v>
      </c>
      <c r="R192" s="508">
        <f>0.024*$D$189*'Расчет базового уровня'!R$147*0.28</f>
        <v>1972.2462905175244</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ZQRhFkMCPUSaFkuXhKAgHIQyolhHO9FwJIVFEJy4+6bWTklnF58zHul1bCgpZLgtCANa1fMYWYCfr8FDnP96hQ==" saltValue="+6RC99na82jf7C/CNmtbuw=="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86" t="s">
        <v>1172</v>
      </c>
      <c r="B3" s="1786"/>
      <c r="C3" s="1786"/>
      <c r="D3" s="1786"/>
      <c r="E3" s="1786"/>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25">
      <c r="A4" s="1790" t="s">
        <v>834</v>
      </c>
      <c r="B4" s="1776" t="s">
        <v>1174</v>
      </c>
      <c r="C4" s="1772" t="s">
        <v>1338</v>
      </c>
      <c r="D4" s="1792" t="s">
        <v>1337</v>
      </c>
      <c r="E4" s="74"/>
      <c r="F4" s="74"/>
      <c r="G4" s="1810" t="s">
        <v>834</v>
      </c>
      <c r="H4" s="1795" t="s">
        <v>1174</v>
      </c>
      <c r="I4" s="1795" t="s">
        <v>488</v>
      </c>
      <c r="J4" s="1795"/>
      <c r="K4" s="1795" t="s">
        <v>489</v>
      </c>
      <c r="L4" s="1795"/>
      <c r="M4" s="1795" t="s">
        <v>490</v>
      </c>
      <c r="N4" s="1795"/>
      <c r="O4" s="1795" t="s">
        <v>491</v>
      </c>
      <c r="P4" s="1795"/>
      <c r="Q4" s="1795" t="s">
        <v>805</v>
      </c>
      <c r="R4" s="1795"/>
      <c r="S4" s="1795" t="s">
        <v>806</v>
      </c>
      <c r="T4" s="1795"/>
      <c r="U4" s="1795" t="s">
        <v>807</v>
      </c>
      <c r="V4" s="1795"/>
      <c r="W4" s="1795" t="s">
        <v>808</v>
      </c>
      <c r="X4" s="1795"/>
      <c r="Y4" s="1795" t="s">
        <v>809</v>
      </c>
      <c r="Z4" s="1795"/>
      <c r="AA4" s="1795" t="s">
        <v>482</v>
      </c>
      <c r="AB4" s="1795"/>
      <c r="AC4" s="1795" t="s">
        <v>486</v>
      </c>
      <c r="AD4" s="1795"/>
      <c r="AE4" s="1795" t="s">
        <v>487</v>
      </c>
      <c r="AF4" s="1795"/>
      <c r="AG4" s="74"/>
      <c r="AH4" s="74"/>
      <c r="AI4" s="74"/>
      <c r="AJ4" s="74"/>
      <c r="AK4" s="74"/>
      <c r="AL4" s="74"/>
      <c r="AM4" s="74"/>
      <c r="AN4" s="74"/>
      <c r="AO4" s="74"/>
      <c r="AP4" s="74"/>
      <c r="AQ4" s="74"/>
      <c r="AR4" s="74"/>
      <c r="AS4" s="74"/>
      <c r="AT4" s="74"/>
      <c r="AU4" s="74"/>
    </row>
    <row r="5" spans="1:47" ht="72.95" customHeight="1" x14ac:dyDescent="0.25">
      <c r="A5" s="1806"/>
      <c r="B5" s="1807"/>
      <c r="C5" s="1809"/>
      <c r="D5" s="1808"/>
      <c r="E5" s="74"/>
      <c r="F5" s="74"/>
      <c r="G5" s="1811"/>
      <c r="H5" s="1812"/>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25">
      <c r="A6" s="303" t="s">
        <v>1178</v>
      </c>
      <c r="B6" s="304" t="s">
        <v>842</v>
      </c>
      <c r="C6" s="305">
        <f>'Расчет базового уровня'!D6</f>
        <v>3783678.2420000001</v>
      </c>
      <c r="D6" s="305">
        <f>D12+D15+D18</f>
        <v>3119065.729697255</v>
      </c>
      <c r="E6" s="74"/>
      <c r="F6" s="74"/>
      <c r="G6" s="303" t="s">
        <v>1178</v>
      </c>
      <c r="H6" s="304" t="s">
        <v>842</v>
      </c>
      <c r="I6" s="306">
        <f>'Расчет базового уровня'!J6</f>
        <v>543113</v>
      </c>
      <c r="J6" s="306">
        <f>J12+J15+J18</f>
        <v>473890.81417813868</v>
      </c>
      <c r="K6" s="306">
        <f>'Расчет базового уровня'!M6</f>
        <v>522970</v>
      </c>
      <c r="L6" s="306">
        <f>L12+L15+L18</f>
        <v>419014.51589345816</v>
      </c>
      <c r="M6" s="306">
        <f>'Расчет базового уровня'!P6</f>
        <v>399512.88199999998</v>
      </c>
      <c r="N6" s="306">
        <f>N12+N15+N18</f>
        <v>341372.78024848178</v>
      </c>
      <c r="O6" s="306">
        <f>'Расчет базового уровня'!S6</f>
        <v>366303</v>
      </c>
      <c r="P6" s="306">
        <f>P12+P15+P18</f>
        <v>158460.53686720133</v>
      </c>
      <c r="Q6" s="306">
        <f>'Расчет базового уровня'!V6</f>
        <v>243041</v>
      </c>
      <c r="R6" s="306">
        <f>R12+R15+R18</f>
        <v>116256.74480846182</v>
      </c>
      <c r="S6" s="306">
        <f>'Расчет базового уровня'!Y6</f>
        <v>101165</v>
      </c>
      <c r="T6" s="306">
        <f>T12+T15+T18</f>
        <v>102069.11333333333</v>
      </c>
      <c r="U6" s="306">
        <f>'Расчет базового уровня'!AB6</f>
        <v>100944</v>
      </c>
      <c r="V6" s="306">
        <f>V12+V15+V18</f>
        <v>102069.11333333333</v>
      </c>
      <c r="W6" s="306">
        <f>'Расчет базового уровня'!AE6</f>
        <v>101495</v>
      </c>
      <c r="X6" s="306">
        <f>X12+X15+X18</f>
        <v>102069.11333333333</v>
      </c>
      <c r="Y6" s="306">
        <f>'Расчет базового уровня'!AH6</f>
        <v>102437</v>
      </c>
      <c r="Z6" s="306">
        <f>Z12+Z15+Z18</f>
        <v>102069.11333333333</v>
      </c>
      <c r="AA6" s="306">
        <f>'Расчет базового уровня'!AK6</f>
        <v>263988</v>
      </c>
      <c r="AB6" s="306">
        <f>AB12+AB15+AB18</f>
        <v>250584.47617129236</v>
      </c>
      <c r="AC6" s="306">
        <f>'Расчет базового уровня'!AN6</f>
        <v>532276</v>
      </c>
      <c r="AD6" s="306">
        <f>AD12+AD15+AD18</f>
        <v>447346.83697469032</v>
      </c>
      <c r="AE6" s="306">
        <f>'Расчет базового уровня'!AQ6</f>
        <v>506433.36</v>
      </c>
      <c r="AF6" s="306">
        <f>AF12+AF15+AF18</f>
        <v>422536.37370715267</v>
      </c>
      <c r="AG6" s="74"/>
      <c r="AH6" s="74"/>
      <c r="AI6" s="74"/>
      <c r="AJ6" s="74"/>
      <c r="AK6" s="74"/>
      <c r="AL6" s="74"/>
      <c r="AM6" s="74"/>
      <c r="AN6" s="74"/>
      <c r="AO6" s="74"/>
      <c r="AP6" s="74"/>
      <c r="AQ6" s="74"/>
      <c r="AR6" s="74"/>
      <c r="AS6" s="74"/>
      <c r="AT6" s="74"/>
      <c r="AU6" s="74"/>
    </row>
    <row r="7" spans="1:47" ht="19.5" customHeight="1" x14ac:dyDescent="0.25">
      <c r="A7" s="307" t="s">
        <v>1339</v>
      </c>
      <c r="B7" s="304" t="s">
        <v>842</v>
      </c>
      <c r="C7" s="308"/>
      <c r="D7" s="308">
        <f>C6-D6</f>
        <v>664612.51230274513</v>
      </c>
      <c r="E7" s="74"/>
      <c r="F7" s="74"/>
      <c r="G7" s="307" t="s">
        <v>1339</v>
      </c>
      <c r="H7" s="304" t="s">
        <v>842</v>
      </c>
      <c r="I7" s="308"/>
      <c r="J7" s="308">
        <f>I6-J6</f>
        <v>69222.18582186132</v>
      </c>
      <c r="K7" s="308"/>
      <c r="L7" s="308">
        <f>K6-L6</f>
        <v>103955.48410654184</v>
      </c>
      <c r="M7" s="308"/>
      <c r="N7" s="308">
        <f>M6-N6</f>
        <v>58140.101751518203</v>
      </c>
      <c r="O7" s="308"/>
      <c r="P7" s="308">
        <f>O6-P6</f>
        <v>207842.46313279867</v>
      </c>
      <c r="Q7" s="308"/>
      <c r="R7" s="308">
        <f>Q6-R6</f>
        <v>126784.25519153818</v>
      </c>
      <c r="S7" s="308"/>
      <c r="T7" s="308">
        <f>S6-T6</f>
        <v>-904.11333333332732</v>
      </c>
      <c r="U7" s="308"/>
      <c r="V7" s="308">
        <f>U6-V6</f>
        <v>-1125.1133333333273</v>
      </c>
      <c r="W7" s="308"/>
      <c r="X7" s="308">
        <f>W6-X6</f>
        <v>-574.11333333332732</v>
      </c>
      <c r="Y7" s="308"/>
      <c r="Z7" s="308">
        <f>Y6-Z6</f>
        <v>367.88666666667268</v>
      </c>
      <c r="AA7" s="308"/>
      <c r="AB7" s="308">
        <f>AA6-AB6</f>
        <v>13403.523828707635</v>
      </c>
      <c r="AC7" s="308"/>
      <c r="AD7" s="308">
        <f>AC6-AD6</f>
        <v>84929.163025309681</v>
      </c>
      <c r="AE7" s="308"/>
      <c r="AF7" s="308">
        <f>AE6-AF6</f>
        <v>83896.986292847316</v>
      </c>
      <c r="AG7" s="74"/>
      <c r="AH7" s="74"/>
      <c r="AI7" s="74"/>
      <c r="AJ7" s="74"/>
      <c r="AK7" s="74"/>
      <c r="AL7" s="74"/>
      <c r="AM7" s="74"/>
      <c r="AN7" s="74"/>
      <c r="AO7" s="74"/>
      <c r="AP7" s="74"/>
      <c r="AQ7" s="74"/>
      <c r="AR7" s="74"/>
      <c r="AS7" s="74"/>
      <c r="AT7" s="74"/>
      <c r="AU7" s="74"/>
    </row>
    <row r="8" spans="1:47" ht="14.25" customHeight="1" x14ac:dyDescent="0.25">
      <c r="A8" s="307" t="s">
        <v>874</v>
      </c>
      <c r="B8" s="309" t="s">
        <v>1181</v>
      </c>
      <c r="C8" s="310"/>
      <c r="D8" s="310">
        <f>D7/C6</f>
        <v>0.17565249204473585</v>
      </c>
      <c r="E8" s="74"/>
      <c r="F8" s="74"/>
      <c r="G8" s="307" t="s">
        <v>874</v>
      </c>
      <c r="H8" s="309" t="s">
        <v>1181</v>
      </c>
      <c r="I8" s="310"/>
      <c r="J8" s="310">
        <f>IF(I6=0,0,J7/I6)</f>
        <v>0.12745448152016489</v>
      </c>
      <c r="K8" s="310"/>
      <c r="L8" s="310">
        <f>IF(K6=0,0,L7/K6)</f>
        <v>0.19877905827588932</v>
      </c>
      <c r="M8" s="310"/>
      <c r="N8" s="310">
        <f>IF(M6=0,0,N7/M6)</f>
        <v>0.14552747701266416</v>
      </c>
      <c r="O8" s="310"/>
      <c r="P8" s="310">
        <f>IF(O6=0,0,P7/O6)</f>
        <v>0.56740584470451694</v>
      </c>
      <c r="Q8" s="310"/>
      <c r="R8" s="310">
        <f>IF(Q6=0,0,R7/Q6)</f>
        <v>0.52165788978624261</v>
      </c>
      <c r="S8" s="310"/>
      <c r="T8" s="310">
        <f>IF(S6=0,0,T7/S6)</f>
        <v>-8.9370170843011652E-3</v>
      </c>
      <c r="U8" s="310"/>
      <c r="V8" s="310">
        <f>IF(U6=0,0,V7/U6)</f>
        <v>-1.1145915887356627E-2</v>
      </c>
      <c r="W8" s="310"/>
      <c r="X8" s="310">
        <f>IF(W6=0,0,X7/W6)</f>
        <v>-5.6565676470104664E-3</v>
      </c>
      <c r="Y8" s="310"/>
      <c r="Z8" s="310">
        <f>IF(Y6=0,0,Z7/Y6)</f>
        <v>3.5913455750038823E-3</v>
      </c>
      <c r="AA8" s="310"/>
      <c r="AB8" s="310">
        <f>IF(AA6=0,0,AB7/AA6)</f>
        <v>5.0773231467747156E-2</v>
      </c>
      <c r="AC8" s="310"/>
      <c r="AD8" s="310">
        <f>IF(AC6=0,0,AD7/AC6)</f>
        <v>0.15955850540942984</v>
      </c>
      <c r="AE8" s="310"/>
      <c r="AF8" s="310">
        <f>IF(AE6=0,0,AF7/AE6)</f>
        <v>0.1656624403511793</v>
      </c>
      <c r="AG8" s="74"/>
      <c r="AH8" s="74"/>
      <c r="AI8" s="74"/>
      <c r="AJ8" s="74"/>
      <c r="AK8" s="74"/>
      <c r="AL8" s="74"/>
      <c r="AM8" s="74"/>
      <c r="AN8" s="74"/>
      <c r="AO8" s="74"/>
      <c r="AP8" s="74"/>
      <c r="AQ8" s="74"/>
      <c r="AR8" s="74"/>
      <c r="AS8" s="74"/>
      <c r="AT8" s="74"/>
      <c r="AU8" s="74"/>
    </row>
    <row r="9" spans="1:47" ht="30" customHeight="1" x14ac:dyDescent="0.25">
      <c r="A9" s="311" t="s">
        <v>1182</v>
      </c>
      <c r="B9" s="304" t="s">
        <v>842</v>
      </c>
      <c r="C9" s="305">
        <f>'Расчет базового уровня'!D9</f>
        <v>3675328.8820000002</v>
      </c>
      <c r="D9" s="305">
        <f>D12+D15</f>
        <v>3009385.4656152539</v>
      </c>
      <c r="E9" s="74"/>
      <c r="F9" s="74"/>
      <c r="G9" s="311" t="s">
        <v>1182</v>
      </c>
      <c r="H9" s="304" t="s">
        <v>842</v>
      </c>
      <c r="I9" s="306">
        <f>'Расчет базового уровня'!J9</f>
        <v>528002</v>
      </c>
      <c r="J9" s="306">
        <f>J12+J15</f>
        <v>464604.76870579045</v>
      </c>
      <c r="K9" s="306">
        <f>'Расчет базового уровня'!M9</f>
        <v>519861</v>
      </c>
      <c r="L9" s="306">
        <f>L12+L15</f>
        <v>409767.33602570579</v>
      </c>
      <c r="M9" s="306">
        <f>'Расчет базового уровня'!P9</f>
        <v>384038.88199999998</v>
      </c>
      <c r="N9" s="306">
        <f>N12+N15</f>
        <v>332169.64124465443</v>
      </c>
      <c r="O9" s="306">
        <f>'Расчет базового уровня'!S9</f>
        <v>354715</v>
      </c>
      <c r="P9" s="306">
        <f>P12+P15</f>
        <v>149389.71707660315</v>
      </c>
      <c r="Q9" s="306">
        <f>'Расчет базового уровня'!V9</f>
        <v>232600</v>
      </c>
      <c r="R9" s="306">
        <f>R12+R15</f>
        <v>107217.1384638029</v>
      </c>
      <c r="S9" s="306">
        <f>'Расчет базового уровня'!Y9</f>
        <v>93040</v>
      </c>
      <c r="T9" s="306">
        <f>T12+T15</f>
        <v>93040</v>
      </c>
      <c r="U9" s="306">
        <f>'Расчет базового уровня'!AB9</f>
        <v>93040</v>
      </c>
      <c r="V9" s="306">
        <f>V12+V15</f>
        <v>93040</v>
      </c>
      <c r="W9" s="306">
        <f>'Расчет базового уровня'!AE9</f>
        <v>93040</v>
      </c>
      <c r="X9" s="306">
        <f>X12+X15</f>
        <v>93040</v>
      </c>
      <c r="Y9" s="306">
        <f>'Расчет базового уровня'!AH9</f>
        <v>94203</v>
      </c>
      <c r="Z9" s="306">
        <f>Z12+Z15</f>
        <v>93040</v>
      </c>
      <c r="AA9" s="306">
        <f>'Расчет базового уровня'!AK9</f>
        <v>255860</v>
      </c>
      <c r="AB9" s="306">
        <f>AB12+AB15</f>
        <v>241445.52256003703</v>
      </c>
      <c r="AC9" s="306">
        <f>'Расчет базового уровня'!AN9</f>
        <v>525676</v>
      </c>
      <c r="AD9" s="306">
        <f>AD12+AD15</f>
        <v>438081.28326843452</v>
      </c>
      <c r="AE9" s="306">
        <f>'Расчет базового уровня'!AQ9</f>
        <v>501253</v>
      </c>
      <c r="AF9" s="306">
        <f>AF12+AF15</f>
        <v>413284.0086884771</v>
      </c>
      <c r="AG9" s="74"/>
      <c r="AH9" s="74"/>
      <c r="AI9" s="74"/>
      <c r="AJ9" s="74"/>
      <c r="AK9" s="74"/>
      <c r="AL9" s="74"/>
      <c r="AM9" s="74"/>
      <c r="AN9" s="74"/>
      <c r="AO9" s="74"/>
      <c r="AP9" s="74"/>
      <c r="AQ9" s="74"/>
      <c r="AR9" s="74"/>
      <c r="AS9" s="74"/>
      <c r="AT9" s="74"/>
      <c r="AU9" s="74"/>
    </row>
    <row r="10" spans="1:47" ht="16.5" customHeight="1" x14ac:dyDescent="0.25">
      <c r="A10" s="307" t="s">
        <v>1339</v>
      </c>
      <c r="B10" s="304" t="s">
        <v>842</v>
      </c>
      <c r="C10" s="308"/>
      <c r="D10" s="308">
        <f>C9-D9</f>
        <v>665943.41638474632</v>
      </c>
      <c r="E10" s="74"/>
      <c r="F10" s="74"/>
      <c r="G10" s="307" t="s">
        <v>1339</v>
      </c>
      <c r="H10" s="304" t="s">
        <v>842</v>
      </c>
      <c r="I10" s="308"/>
      <c r="J10" s="308">
        <f>I9-J9</f>
        <v>63397.231294209545</v>
      </c>
      <c r="K10" s="308"/>
      <c r="L10" s="308">
        <f>K9-L9</f>
        <v>110093.66397429421</v>
      </c>
      <c r="M10" s="308"/>
      <c r="N10" s="308">
        <f>M9-N9</f>
        <v>51869.240755345556</v>
      </c>
      <c r="O10" s="308"/>
      <c r="P10" s="308">
        <f>O9-P9</f>
        <v>205325.28292339685</v>
      </c>
      <c r="Q10" s="308"/>
      <c r="R10" s="308">
        <f>Q9-R9</f>
        <v>125382.8615361971</v>
      </c>
      <c r="S10" s="308"/>
      <c r="T10" s="308">
        <f>S9-T9</f>
        <v>0</v>
      </c>
      <c r="U10" s="308"/>
      <c r="V10" s="308">
        <f>U9-V9</f>
        <v>0</v>
      </c>
      <c r="W10" s="308"/>
      <c r="X10" s="308">
        <f>W9-X9</f>
        <v>0</v>
      </c>
      <c r="Y10" s="308"/>
      <c r="Z10" s="308">
        <f>Y9-Z9</f>
        <v>1163</v>
      </c>
      <c r="AA10" s="308"/>
      <c r="AB10" s="308">
        <f>AA9-AB9</f>
        <v>14414.477439962968</v>
      </c>
      <c r="AC10" s="308"/>
      <c r="AD10" s="308">
        <f>AC9-AD9</f>
        <v>87594.716731565481</v>
      </c>
      <c r="AE10" s="308"/>
      <c r="AF10" s="308">
        <f>AE9-AF9</f>
        <v>87968.991311522899</v>
      </c>
      <c r="AG10" s="74"/>
      <c r="AH10" s="74"/>
      <c r="AI10" s="74"/>
      <c r="AJ10" s="74"/>
      <c r="AK10" s="74"/>
      <c r="AL10" s="74"/>
      <c r="AM10" s="74"/>
      <c r="AN10" s="74"/>
      <c r="AO10" s="74"/>
      <c r="AP10" s="74"/>
      <c r="AQ10" s="74"/>
      <c r="AR10" s="74"/>
      <c r="AS10" s="74"/>
      <c r="AT10" s="74"/>
      <c r="AU10" s="74"/>
    </row>
    <row r="11" spans="1:47" ht="15.75" customHeight="1" x14ac:dyDescent="0.25">
      <c r="A11" s="307" t="s">
        <v>874</v>
      </c>
      <c r="B11" s="309" t="s">
        <v>1181</v>
      </c>
      <c r="C11" s="310"/>
      <c r="D11" s="310">
        <f>D10/C9</f>
        <v>0.1811928776350378</v>
      </c>
      <c r="E11" s="74"/>
      <c r="F11" s="74"/>
      <c r="G11" s="307" t="s">
        <v>874</v>
      </c>
      <c r="H11" s="309" t="s">
        <v>1181</v>
      </c>
      <c r="I11" s="310"/>
      <c r="J11" s="310">
        <f>IF(I9=0,0,J10/I9)</f>
        <v>0.12007005900396124</v>
      </c>
      <c r="K11" s="310"/>
      <c r="L11" s="310">
        <f>IF(K9=0,0,L10/K9)</f>
        <v>0.21177519370426751</v>
      </c>
      <c r="M11" s="310"/>
      <c r="N11" s="310">
        <f>IF(M9=0,0,N10/M9)</f>
        <v>0.13506247202163649</v>
      </c>
      <c r="O11" s="310"/>
      <c r="P11" s="310">
        <f>IF(O9=0,0,P10/O9)</f>
        <v>0.57884578583763546</v>
      </c>
      <c r="Q11" s="310"/>
      <c r="R11" s="310">
        <f>IF(Q9=0,0,R10/Q9)</f>
        <v>0.53904927573601502</v>
      </c>
      <c r="S11" s="310"/>
      <c r="T11" s="310">
        <f>IF(S9=0,0,T10/S9)</f>
        <v>0</v>
      </c>
      <c r="U11" s="310"/>
      <c r="V11" s="310">
        <f>IF(U9=0,0,V10/U9)</f>
        <v>0</v>
      </c>
      <c r="W11" s="310"/>
      <c r="X11" s="310">
        <f>IF(W9=0,0,X10/W9)</f>
        <v>0</v>
      </c>
      <c r="Y11" s="310"/>
      <c r="Z11" s="310">
        <f>IF(Y9=0,0,Z10/Y9)</f>
        <v>1.2345679012345678E-2</v>
      </c>
      <c r="AA11" s="310"/>
      <c r="AB11" s="310">
        <f>IF(AA9=0,0,AB10/AA9)</f>
        <v>5.6337361994696189E-2</v>
      </c>
      <c r="AC11" s="310"/>
      <c r="AD11" s="310">
        <f>IF(AC9=0,0,AD10/AC9)</f>
        <v>0.16663252028162875</v>
      </c>
      <c r="AE11" s="310"/>
      <c r="AF11" s="310">
        <f>IF(AE9=0,0,AF10/AE9)</f>
        <v>0.17549818417350699</v>
      </c>
      <c r="AG11" s="74"/>
      <c r="AH11" s="74"/>
      <c r="AI11" s="74"/>
      <c r="AJ11" s="74"/>
      <c r="AK11" s="74"/>
      <c r="AL11" s="74"/>
      <c r="AM11" s="74"/>
      <c r="AN11" s="74"/>
      <c r="AO11" s="74"/>
      <c r="AP11" s="74"/>
      <c r="AQ11" s="74"/>
      <c r="AR11" s="74"/>
      <c r="AS11" s="74"/>
      <c r="AT11" s="74"/>
      <c r="AU11" s="74"/>
    </row>
    <row r="12" spans="1:47" ht="20.25" customHeight="1" x14ac:dyDescent="0.25">
      <c r="A12" s="312" t="s">
        <v>1185</v>
      </c>
      <c r="B12" s="304" t="s">
        <v>842</v>
      </c>
      <c r="C12" s="305">
        <f>'Расчет базового уровня'!D12</f>
        <v>2464131.8360000001</v>
      </c>
      <c r="D12" s="305">
        <f>D35</f>
        <v>1798188.4196152538</v>
      </c>
      <c r="E12" s="74"/>
      <c r="F12" s="74"/>
      <c r="G12" s="312" t="s">
        <v>1185</v>
      </c>
      <c r="H12" s="304" t="s">
        <v>842</v>
      </c>
      <c r="I12" s="306">
        <f>'Расчет базового уровня'!J12</f>
        <v>410539</v>
      </c>
      <c r="J12" s="306">
        <f>J35</f>
        <v>347141.76870579045</v>
      </c>
      <c r="K12" s="306">
        <f>'Расчет базового уровня'!M12</f>
        <v>404724</v>
      </c>
      <c r="L12" s="306">
        <f>L35</f>
        <v>294630.33602570579</v>
      </c>
      <c r="M12" s="306">
        <f>'Расчет базового уровня'!P12</f>
        <v>286995.83600000001</v>
      </c>
      <c r="N12" s="306">
        <f>N35</f>
        <v>235126.59524465445</v>
      </c>
      <c r="O12" s="306">
        <f>'Расчет базового уровня'!S12</f>
        <v>261675</v>
      </c>
      <c r="P12" s="306">
        <f>P35</f>
        <v>56349.717076603134</v>
      </c>
      <c r="Q12" s="306">
        <f>'Расчет базового уровня'!V12</f>
        <v>139560</v>
      </c>
      <c r="R12" s="306">
        <f>R35</f>
        <v>14177.138463802898</v>
      </c>
      <c r="S12" s="306">
        <f>'Расчет базового уровня'!Y12</f>
        <v>0</v>
      </c>
      <c r="T12" s="306">
        <f>T35</f>
        <v>0</v>
      </c>
      <c r="U12" s="306">
        <f>'Расчет базового уровня'!AB12</f>
        <v>0</v>
      </c>
      <c r="V12" s="306">
        <f>V35</f>
        <v>0</v>
      </c>
      <c r="W12" s="306">
        <f>'Расчет базового уровня'!AE12</f>
        <v>0</v>
      </c>
      <c r="X12" s="306">
        <f>X35</f>
        <v>0</v>
      </c>
      <c r="Y12" s="306">
        <f>'Расчет базового уровня'!AH12</f>
        <v>1163</v>
      </c>
      <c r="Z12" s="306">
        <f>Z35</f>
        <v>0</v>
      </c>
      <c r="AA12" s="306">
        <f>'Расчет базового уровня'!AK12</f>
        <v>162820</v>
      </c>
      <c r="AB12" s="306">
        <f>AB35</f>
        <v>148405.52256003703</v>
      </c>
      <c r="AC12" s="306">
        <f>'Расчет базового уровня'!AN12</f>
        <v>407050</v>
      </c>
      <c r="AD12" s="306">
        <f>AD35</f>
        <v>319455.28326843452</v>
      </c>
      <c r="AE12" s="306">
        <f>'Расчет базового уровня'!AQ12</f>
        <v>389605</v>
      </c>
      <c r="AF12" s="306">
        <f>AF35</f>
        <v>301636.0086884771</v>
      </c>
      <c r="AG12" s="74"/>
      <c r="AH12" s="74"/>
      <c r="AI12" s="74"/>
      <c r="AJ12" s="74"/>
      <c r="AK12" s="74"/>
      <c r="AL12" s="74"/>
      <c r="AM12" s="74"/>
      <c r="AN12" s="74"/>
      <c r="AO12" s="74"/>
      <c r="AP12" s="74"/>
      <c r="AQ12" s="74"/>
      <c r="AR12" s="74"/>
      <c r="AS12" s="74"/>
      <c r="AT12" s="74"/>
      <c r="AU12" s="74"/>
    </row>
    <row r="13" spans="1:47" x14ac:dyDescent="0.25">
      <c r="A13" s="307" t="s">
        <v>1339</v>
      </c>
      <c r="B13" s="304" t="s">
        <v>842</v>
      </c>
      <c r="C13" s="308"/>
      <c r="D13" s="308">
        <f>C12-D12</f>
        <v>665943.41638474632</v>
      </c>
      <c r="E13" s="74"/>
      <c r="F13" s="74"/>
      <c r="G13" s="307" t="s">
        <v>1339</v>
      </c>
      <c r="H13" s="304" t="s">
        <v>842</v>
      </c>
      <c r="I13" s="308"/>
      <c r="J13" s="308">
        <f>I12-J12</f>
        <v>63397.231294209545</v>
      </c>
      <c r="K13" s="308"/>
      <c r="L13" s="308">
        <f>K12-L12</f>
        <v>110093.66397429421</v>
      </c>
      <c r="M13" s="308"/>
      <c r="N13" s="308">
        <f>M12-N12</f>
        <v>51869.240755345556</v>
      </c>
      <c r="O13" s="308"/>
      <c r="P13" s="308">
        <f>O12-P12</f>
        <v>205325.28292339685</v>
      </c>
      <c r="Q13" s="308"/>
      <c r="R13" s="308">
        <f>Q12-R12</f>
        <v>125382.8615361971</v>
      </c>
      <c r="S13" s="308"/>
      <c r="T13" s="308">
        <f>S12-T12</f>
        <v>0</v>
      </c>
      <c r="U13" s="308"/>
      <c r="V13" s="308">
        <f>U12-V12</f>
        <v>0</v>
      </c>
      <c r="W13" s="308"/>
      <c r="X13" s="308">
        <f>W12-X12</f>
        <v>0</v>
      </c>
      <c r="Y13" s="308"/>
      <c r="Z13" s="308">
        <f>Y12-Z12</f>
        <v>1163</v>
      </c>
      <c r="AA13" s="308"/>
      <c r="AB13" s="308">
        <f>AA12-AB12</f>
        <v>14414.477439962968</v>
      </c>
      <c r="AC13" s="308"/>
      <c r="AD13" s="308">
        <f>AC12-AD12</f>
        <v>87594.716731565481</v>
      </c>
      <c r="AE13" s="308"/>
      <c r="AF13" s="308">
        <f>AE12-AF12</f>
        <v>87968.991311522899</v>
      </c>
      <c r="AG13" s="74"/>
      <c r="AH13" s="74"/>
      <c r="AI13" s="74"/>
      <c r="AJ13" s="74"/>
      <c r="AK13" s="74"/>
      <c r="AL13" s="74"/>
      <c r="AM13" s="74"/>
      <c r="AN13" s="74"/>
      <c r="AO13" s="74"/>
      <c r="AP13" s="74"/>
      <c r="AQ13" s="74"/>
      <c r="AR13" s="74"/>
      <c r="AS13" s="74"/>
      <c r="AT13" s="74"/>
      <c r="AU13" s="74"/>
    </row>
    <row r="14" spans="1:47" x14ac:dyDescent="0.25">
      <c r="A14" s="307" t="s">
        <v>874</v>
      </c>
      <c r="B14" s="309" t="s">
        <v>1181</v>
      </c>
      <c r="C14" s="310"/>
      <c r="D14" s="310">
        <f>D13/C12</f>
        <v>0.27025478371553585</v>
      </c>
      <c r="E14" s="74"/>
      <c r="F14" s="74"/>
      <c r="G14" s="307" t="s">
        <v>874</v>
      </c>
      <c r="H14" s="309" t="s">
        <v>1181</v>
      </c>
      <c r="I14" s="310"/>
      <c r="J14" s="310">
        <f>IF(I12=0,0,J13/I12)</f>
        <v>0.15442438183512297</v>
      </c>
      <c r="K14" s="310"/>
      <c r="L14" s="310">
        <f>IF(K12=0,0,L13/K12)</f>
        <v>0.27202158501668844</v>
      </c>
      <c r="M14" s="310"/>
      <c r="N14" s="310">
        <f>IF(M12=0,0,N13/M12)</f>
        <v>0.18073168404905204</v>
      </c>
      <c r="O14" s="310"/>
      <c r="P14" s="310">
        <f>IF(O12=0,0,P13/O12)</f>
        <v>0.78465762080212798</v>
      </c>
      <c r="Q14" s="310"/>
      <c r="R14" s="310">
        <f>IF(Q12=0,0,R13/Q12)</f>
        <v>0.89841545956002511</v>
      </c>
      <c r="S14" s="310"/>
      <c r="T14" s="310">
        <f>IF(S12=0,0,T13/S12)</f>
        <v>0</v>
      </c>
      <c r="U14" s="310"/>
      <c r="V14" s="310">
        <f>IF(U12=0,0,V13/U12)</f>
        <v>0</v>
      </c>
      <c r="W14" s="310"/>
      <c r="X14" s="310">
        <f>IF(W12=0,0,X13/W12)</f>
        <v>0</v>
      </c>
      <c r="Y14" s="310"/>
      <c r="Z14" s="310">
        <f>IF(Y12=0,0,Z13/Y12)</f>
        <v>1</v>
      </c>
      <c r="AA14" s="310"/>
      <c r="AB14" s="310">
        <f>IF(AA12=0,0,AB13/AA12)</f>
        <v>8.8530140277379737E-2</v>
      </c>
      <c r="AC14" s="310"/>
      <c r="AD14" s="310">
        <f>IF(AC12=0,0,AD13/AC12)</f>
        <v>0.21519399762084629</v>
      </c>
      <c r="AE14" s="310"/>
      <c r="AF14" s="310">
        <f>IF(AE12=0,0,AF13/AE12)</f>
        <v>0.22579020113069109</v>
      </c>
      <c r="AG14" s="74"/>
      <c r="AH14" s="74"/>
      <c r="AI14" s="74"/>
      <c r="AJ14" s="74"/>
      <c r="AK14" s="74"/>
      <c r="AL14" s="74"/>
      <c r="AM14" s="74"/>
      <c r="AN14" s="74"/>
      <c r="AO14" s="74"/>
      <c r="AP14" s="74"/>
      <c r="AQ14" s="74"/>
      <c r="AR14" s="74"/>
      <c r="AS14" s="74"/>
      <c r="AT14" s="74"/>
      <c r="AU14" s="74"/>
    </row>
    <row r="15" spans="1:47" ht="16.5" customHeight="1" x14ac:dyDescent="0.25">
      <c r="A15" s="312" t="s">
        <v>999</v>
      </c>
      <c r="B15" s="304" t="s">
        <v>842</v>
      </c>
      <c r="C15" s="305">
        <f>'Расчет базового уровня'!D15</f>
        <v>1211197.0460000001</v>
      </c>
      <c r="D15" s="306">
        <f>D85</f>
        <v>1211197.0460000001</v>
      </c>
      <c r="E15" s="74"/>
      <c r="F15" s="74"/>
      <c r="G15" s="312" t="s">
        <v>999</v>
      </c>
      <c r="H15" s="304" t="s">
        <v>842</v>
      </c>
      <c r="I15" s="306">
        <f>'Расчет базового уровня'!J15</f>
        <v>117463</v>
      </c>
      <c r="J15" s="306">
        <f>J85</f>
        <v>117463</v>
      </c>
      <c r="K15" s="306">
        <f>'Расчет базового уровня'!M15</f>
        <v>115137</v>
      </c>
      <c r="L15" s="306">
        <f>L85</f>
        <v>115137</v>
      </c>
      <c r="M15" s="306">
        <f>'Расчет базового уровня'!P15</f>
        <v>97043.045999999988</v>
      </c>
      <c r="N15" s="306">
        <f>N85</f>
        <v>97043.045999999988</v>
      </c>
      <c r="O15" s="306">
        <f>'Расчет базового уровня'!S15</f>
        <v>93040</v>
      </c>
      <c r="P15" s="306">
        <f>P85</f>
        <v>93040</v>
      </c>
      <c r="Q15" s="306">
        <f>'Расчет базового уровня'!V15</f>
        <v>93040</v>
      </c>
      <c r="R15" s="306">
        <f>R85</f>
        <v>93040</v>
      </c>
      <c r="S15" s="306">
        <f>'Расчет базового уровня'!Y15</f>
        <v>93040</v>
      </c>
      <c r="T15" s="306">
        <f>T85</f>
        <v>93040</v>
      </c>
      <c r="U15" s="306">
        <f>'Расчет базового уровня'!AB15</f>
        <v>93040</v>
      </c>
      <c r="V15" s="306">
        <f>V85</f>
        <v>93040</v>
      </c>
      <c r="W15" s="306">
        <f>'Расчет базового уровня'!AE15</f>
        <v>93040</v>
      </c>
      <c r="X15" s="306">
        <f>X85</f>
        <v>93040</v>
      </c>
      <c r="Y15" s="306">
        <f>'Расчет базового уровня'!AH15</f>
        <v>93040</v>
      </c>
      <c r="Z15" s="306">
        <f>Z85</f>
        <v>93040</v>
      </c>
      <c r="AA15" s="306">
        <f>'Расчет базового уровня'!AK15</f>
        <v>93040</v>
      </c>
      <c r="AB15" s="306">
        <f>AB85</f>
        <v>93040</v>
      </c>
      <c r="AC15" s="306">
        <f>'Расчет базового уровня'!AN15</f>
        <v>118626</v>
      </c>
      <c r="AD15" s="306">
        <f>AD85</f>
        <v>118626</v>
      </c>
      <c r="AE15" s="306">
        <f>'Расчет базового уровня'!AQ15</f>
        <v>111648</v>
      </c>
      <c r="AF15" s="306">
        <f>AF85</f>
        <v>111648</v>
      </c>
      <c r="AG15" s="74"/>
      <c r="AH15" s="74"/>
      <c r="AI15" s="74"/>
      <c r="AJ15" s="74"/>
      <c r="AK15" s="74"/>
      <c r="AL15" s="74"/>
      <c r="AM15" s="74"/>
      <c r="AN15" s="74"/>
      <c r="AO15" s="74"/>
      <c r="AP15" s="74"/>
      <c r="AQ15" s="74"/>
      <c r="AR15" s="74"/>
      <c r="AS15" s="74"/>
      <c r="AT15" s="74"/>
      <c r="AU15" s="74"/>
    </row>
    <row r="16" spans="1:47" x14ac:dyDescent="0.25">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25">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25">
      <c r="A18" s="303" t="s">
        <v>1188</v>
      </c>
      <c r="B18" s="304" t="s">
        <v>842</v>
      </c>
      <c r="C18" s="305">
        <f>'Расчет базового уровня'!D18</f>
        <v>108349.35999999997</v>
      </c>
      <c r="D18" s="305">
        <f>D100</f>
        <v>109680.26408200094</v>
      </c>
      <c r="E18" s="74"/>
      <c r="F18" s="74"/>
      <c r="G18" s="303" t="s">
        <v>1188</v>
      </c>
      <c r="H18" s="304" t="s">
        <v>842</v>
      </c>
      <c r="I18" s="306">
        <f>'Расчет базового уровня'!J18</f>
        <v>15111</v>
      </c>
      <c r="J18" s="306">
        <f>J100</f>
        <v>9286.0454723482289</v>
      </c>
      <c r="K18" s="306">
        <f>'Расчет базового уровня'!M18</f>
        <v>3109</v>
      </c>
      <c r="L18" s="306">
        <f>L100</f>
        <v>9247.1798677523566</v>
      </c>
      <c r="M18" s="306">
        <f>'Расчет базового уровня'!P18</f>
        <v>15474</v>
      </c>
      <c r="N18" s="306">
        <f>N100</f>
        <v>9203.139003827333</v>
      </c>
      <c r="O18" s="306">
        <f>'Расчет базового уровня'!S18</f>
        <v>11588</v>
      </c>
      <c r="P18" s="306">
        <f>P100</f>
        <v>9070.8197905981906</v>
      </c>
      <c r="Q18" s="306">
        <f>'Расчет базового уровня'!V18</f>
        <v>10440.999999999998</v>
      </c>
      <c r="R18" s="306">
        <f>R100</f>
        <v>9039.6063446589214</v>
      </c>
      <c r="S18" s="306">
        <f>'Расчет базового уровня'!Y18</f>
        <v>8125</v>
      </c>
      <c r="T18" s="306">
        <f>T100</f>
        <v>9029.113333333331</v>
      </c>
      <c r="U18" s="306">
        <f>'Расчет базового уровня'!AB18</f>
        <v>7904</v>
      </c>
      <c r="V18" s="306">
        <f>V100</f>
        <v>9029.113333333331</v>
      </c>
      <c r="W18" s="306">
        <f>'Расчет базового уровня'!AE18</f>
        <v>8455</v>
      </c>
      <c r="X18" s="306">
        <f>X100</f>
        <v>9029.113333333331</v>
      </c>
      <c r="Y18" s="306">
        <f>'Расчет базового уровня'!AH18</f>
        <v>8233.9999999999982</v>
      </c>
      <c r="Z18" s="306">
        <f>Z100</f>
        <v>9029.113333333331</v>
      </c>
      <c r="AA18" s="306">
        <f>'Расчет базового уровня'!AK18</f>
        <v>8128</v>
      </c>
      <c r="AB18" s="306">
        <f>AB100</f>
        <v>9138.9536112553178</v>
      </c>
      <c r="AC18" s="306">
        <f>'Расчет базового уровня'!AN18</f>
        <v>6600</v>
      </c>
      <c r="AD18" s="306">
        <f>AD100</f>
        <v>9265.5537062558178</v>
      </c>
      <c r="AE18" s="306">
        <f>'Расчет базового уровня'!AQ18</f>
        <v>5180.3600000000006</v>
      </c>
      <c r="AF18" s="306">
        <f>AF100</f>
        <v>9252.3650186755513</v>
      </c>
      <c r="AG18" s="74"/>
      <c r="AH18" s="74"/>
      <c r="AI18" s="74"/>
      <c r="AJ18" s="74"/>
      <c r="AK18" s="74"/>
      <c r="AL18" s="74"/>
      <c r="AM18" s="74"/>
      <c r="AN18" s="74"/>
      <c r="AO18" s="74"/>
      <c r="AP18" s="74"/>
      <c r="AQ18" s="74"/>
      <c r="AR18" s="74"/>
      <c r="AS18" s="74"/>
      <c r="AT18" s="74"/>
      <c r="AU18" s="74"/>
    </row>
    <row r="19" spans="1:47" ht="15.75" customHeight="1" x14ac:dyDescent="0.25">
      <c r="A19" s="307" t="s">
        <v>1339</v>
      </c>
      <c r="B19" s="304" t="s">
        <v>842</v>
      </c>
      <c r="C19" s="308"/>
      <c r="D19" s="308">
        <f>C18-D18</f>
        <v>-1330.9040820009686</v>
      </c>
      <c r="E19" s="74"/>
      <c r="F19" s="74"/>
      <c r="G19" s="307" t="s">
        <v>1339</v>
      </c>
      <c r="H19" s="304" t="s">
        <v>842</v>
      </c>
      <c r="I19" s="308"/>
      <c r="J19" s="308">
        <f>I18-J18</f>
        <v>5824.9545276517711</v>
      </c>
      <c r="K19" s="308"/>
      <c r="L19" s="308">
        <f>K18-L18</f>
        <v>-6138.1798677523566</v>
      </c>
      <c r="M19" s="308"/>
      <c r="N19" s="308">
        <f>M18-N18</f>
        <v>6270.860996172667</v>
      </c>
      <c r="O19" s="308"/>
      <c r="P19" s="308">
        <f>O18-P18</f>
        <v>2517.1802094018094</v>
      </c>
      <c r="Q19" s="308"/>
      <c r="R19" s="308">
        <f>Q18-R18</f>
        <v>1401.3936553410767</v>
      </c>
      <c r="S19" s="308"/>
      <c r="T19" s="308">
        <f>S18-T18</f>
        <v>-904.11333333333096</v>
      </c>
      <c r="U19" s="308"/>
      <c r="V19" s="308">
        <f>U18-V18</f>
        <v>-1125.113333333331</v>
      </c>
      <c r="W19" s="308"/>
      <c r="X19" s="308">
        <f>W18-X18</f>
        <v>-574.11333333333096</v>
      </c>
      <c r="Y19" s="308"/>
      <c r="Z19" s="308">
        <f>Y18-Z18</f>
        <v>-795.11333333333278</v>
      </c>
      <c r="AA19" s="308"/>
      <c r="AB19" s="308">
        <f>AA18-AB18</f>
        <v>-1010.9536112553178</v>
      </c>
      <c r="AC19" s="308"/>
      <c r="AD19" s="308">
        <f>AC18-AD18</f>
        <v>-2665.5537062558178</v>
      </c>
      <c r="AE19" s="308"/>
      <c r="AF19" s="308">
        <f>AE18-AF18</f>
        <v>-4072.0050186755507</v>
      </c>
      <c r="AG19" s="74"/>
      <c r="AH19" s="74"/>
      <c r="AI19" s="74"/>
      <c r="AJ19" s="74"/>
      <c r="AK19" s="74"/>
      <c r="AL19" s="74"/>
      <c r="AM19" s="74"/>
      <c r="AN19" s="74"/>
      <c r="AO19" s="74"/>
      <c r="AP19" s="74"/>
      <c r="AQ19" s="74"/>
      <c r="AR19" s="74"/>
      <c r="AS19" s="74"/>
      <c r="AT19" s="74"/>
      <c r="AU19" s="74"/>
    </row>
    <row r="20" spans="1:47" ht="15" customHeight="1" x14ac:dyDescent="0.25">
      <c r="A20" s="307" t="s">
        <v>874</v>
      </c>
      <c r="B20" s="309" t="s">
        <v>1181</v>
      </c>
      <c r="C20" s="310"/>
      <c r="D20" s="310">
        <f>D19/C18</f>
        <v>-1.2283451254358761E-2</v>
      </c>
      <c r="E20" s="74"/>
      <c r="F20" s="74"/>
      <c r="G20" s="307" t="s">
        <v>874</v>
      </c>
      <c r="H20" s="309" t="s">
        <v>1181</v>
      </c>
      <c r="I20" s="310"/>
      <c r="J20" s="310">
        <f>IF(I18=0,0,J19/I18)</f>
        <v>0.38547776637229642</v>
      </c>
      <c r="K20" s="310"/>
      <c r="L20" s="310">
        <f>IF(K18=0,0,L19/K18)</f>
        <v>-1.9743261073503882</v>
      </c>
      <c r="M20" s="310"/>
      <c r="N20" s="310">
        <f>IF(M18=0,0,N19/M18)</f>
        <v>0.40525145380461852</v>
      </c>
      <c r="O20" s="310"/>
      <c r="P20" s="310">
        <f>IF(O18=0,0,P19/O18)</f>
        <v>0.21722300736984892</v>
      </c>
      <c r="Q20" s="310"/>
      <c r="R20" s="310">
        <f>IF(Q18=0,0,R19/Q18)</f>
        <v>0.13422025240312968</v>
      </c>
      <c r="S20" s="310"/>
      <c r="T20" s="310">
        <f>IF(S18=0,0,T19/S18)</f>
        <v>-0.11127548717948689</v>
      </c>
      <c r="U20" s="310"/>
      <c r="V20" s="310">
        <f>IF(U18=0,0,V19/U18)</f>
        <v>-0.1423473346828607</v>
      </c>
      <c r="W20" s="310"/>
      <c r="X20" s="310">
        <f>IF(W18=0,0,X19/W18)</f>
        <v>-6.7902227478809099E-2</v>
      </c>
      <c r="Y20" s="310"/>
      <c r="Z20" s="310">
        <f>IF(Y18=0,0,Z19/Y18)</f>
        <v>-9.6564650635576024E-2</v>
      </c>
      <c r="AA20" s="310"/>
      <c r="AB20" s="310">
        <f>IF(AA18=0,0,AB19/AA18)</f>
        <v>-0.12437913524302631</v>
      </c>
      <c r="AC20" s="310"/>
      <c r="AD20" s="310">
        <f>IF(AC18=0,0,AD19/AC18)</f>
        <v>-0.40387177367512389</v>
      </c>
      <c r="AE20" s="310"/>
      <c r="AF20" s="310">
        <f>IF(AE18=0,0,AF19/AE18)</f>
        <v>-0.78604672622666194</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5" t="s">
        <v>1189</v>
      </c>
      <c r="B23" s="304" t="s">
        <v>1190</v>
      </c>
      <c r="C23" s="305">
        <f>'Расчет базового уровня'!D23</f>
        <v>299.57864148851939</v>
      </c>
      <c r="D23" s="305">
        <f>D6/('Ввод исходных данных'!$G$45+'Ввод исходных данных'!$D$23)</f>
        <v>246.95690654768447</v>
      </c>
      <c r="E23" s="74"/>
      <c r="F23" s="74"/>
      <c r="G23" s="315" t="s">
        <v>1189</v>
      </c>
      <c r="H23" s="304" t="s">
        <v>1190</v>
      </c>
      <c r="I23" s="306">
        <f>'Расчет базового уровня'!J23</f>
        <v>0</v>
      </c>
      <c r="J23" s="306">
        <f>J6/'Ввод исходных данных'!$G$44</f>
        <v>32.47161944484985</v>
      </c>
      <c r="K23" s="306">
        <f>'Расчет базового уровня'!M23</f>
        <v>0</v>
      </c>
      <c r="L23" s="306">
        <f>L6/'Ввод исходных данных'!$G$44</f>
        <v>28.71142359143882</v>
      </c>
      <c r="M23" s="306">
        <f>'Расчет базового уровня'!P23</f>
        <v>0</v>
      </c>
      <c r="N23" s="306">
        <f>N6/'Ввод исходных данных'!$G$44</f>
        <v>23.391310144475934</v>
      </c>
      <c r="O23" s="306">
        <f>'Расчет базового уровня'!S23</f>
        <v>0</v>
      </c>
      <c r="P23" s="306">
        <f>P6/'Ввод исходных данных'!$G$44</f>
        <v>10.857923589639668</v>
      </c>
      <c r="Q23" s="306">
        <f>'Расчет базового уровня'!V23</f>
        <v>0</v>
      </c>
      <c r="R23" s="306">
        <f>R6/'Ввод исходных данных'!$G$44</f>
        <v>7.9660644654283832</v>
      </c>
      <c r="S23" s="306">
        <f>'Расчет базового уровня'!Y23</f>
        <v>0</v>
      </c>
      <c r="T23" s="306">
        <f>T6/'Ввод исходных данных'!$G$44</f>
        <v>6.9939093691471381</v>
      </c>
      <c r="U23" s="306">
        <f>'Расчет базового уровня'!AB23</f>
        <v>0</v>
      </c>
      <c r="V23" s="306">
        <f>V6/'Ввод исходных данных'!$G$44</f>
        <v>6.9939093691471381</v>
      </c>
      <c r="W23" s="306">
        <f>'Расчет базового уровня'!AE23</f>
        <v>0</v>
      </c>
      <c r="X23" s="306">
        <f>X6/'Ввод исходных данных'!$G$44</f>
        <v>6.9939093691471381</v>
      </c>
      <c r="Y23" s="306">
        <f>'Расчет базового уровня'!AH23</f>
        <v>0</v>
      </c>
      <c r="Z23" s="306">
        <f>Z6/'Ввод исходных данных'!$G$44</f>
        <v>6.9939093691471381</v>
      </c>
      <c r="AA23" s="306">
        <f>'Расчет базового уровня'!AK23</f>
        <v>0</v>
      </c>
      <c r="AB23" s="306">
        <f>AB6/'Ввод исходных данных'!$G$44</f>
        <v>17.170376604857637</v>
      </c>
      <c r="AC23" s="306">
        <f>'Расчет базового уровня'!AN23</f>
        <v>0</v>
      </c>
      <c r="AD23" s="306">
        <f>AD6/'Ввод исходных данных'!$G$44</f>
        <v>30.652791350876409</v>
      </c>
      <c r="AE23" s="306">
        <f>'Расчет базового уровня'!AQ23</f>
        <v>0</v>
      </c>
      <c r="AF23" s="306">
        <f>AF6/'Ввод исходных данных'!$G$44</f>
        <v>28.952745902915765</v>
      </c>
      <c r="AG23" s="74"/>
      <c r="AH23" s="74"/>
      <c r="AI23" s="74"/>
      <c r="AJ23" s="74"/>
      <c r="AK23" s="74"/>
      <c r="AL23" s="74"/>
      <c r="AM23" s="74"/>
      <c r="AN23" s="74"/>
      <c r="AO23" s="74"/>
      <c r="AP23" s="74"/>
      <c r="AQ23" s="74"/>
      <c r="AR23" s="74"/>
      <c r="AS23" s="74"/>
      <c r="AT23" s="74"/>
      <c r="AU23" s="74"/>
    </row>
    <row r="24" spans="1:47" x14ac:dyDescent="0.25">
      <c r="A24" s="307" t="s">
        <v>874</v>
      </c>
      <c r="B24" s="309" t="s">
        <v>1191</v>
      </c>
      <c r="C24" s="308"/>
      <c r="D24" s="316">
        <f>D7*1000/('Ввод исходных данных'!$G$45+'Ввод исходных данных'!$D$23)</f>
        <v>52621.734940834926</v>
      </c>
      <c r="E24" s="74"/>
      <c r="F24" s="74"/>
      <c r="G24" s="307" t="s">
        <v>874</v>
      </c>
      <c r="H24" s="309" t="s">
        <v>1191</v>
      </c>
      <c r="I24" s="95"/>
      <c r="J24" s="286">
        <f>0.123*J23</f>
        <v>3.9940091917165317</v>
      </c>
      <c r="K24" s="95"/>
      <c r="L24" s="286">
        <f>0.123*L23</f>
        <v>3.531505101746975</v>
      </c>
      <c r="M24" s="95"/>
      <c r="N24" s="286">
        <f>0.123*N23</f>
        <v>2.8771311477705397</v>
      </c>
      <c r="O24" s="95"/>
      <c r="P24" s="286">
        <f>0.123*P23</f>
        <v>1.3355246015256792</v>
      </c>
      <c r="Q24" s="95"/>
      <c r="R24" s="286">
        <f>0.123*R23</f>
        <v>0.97982592924769107</v>
      </c>
      <c r="S24" s="95"/>
      <c r="T24" s="286">
        <f>0.123*T23</f>
        <v>0.86025085240509802</v>
      </c>
      <c r="U24" s="95"/>
      <c r="V24" s="286">
        <f>0.123*V23</f>
        <v>0.86025085240509802</v>
      </c>
      <c r="W24" s="95"/>
      <c r="X24" s="286">
        <f>0.123*X23</f>
        <v>0.86025085240509802</v>
      </c>
      <c r="Y24" s="95"/>
      <c r="Z24" s="286">
        <f>0.123*Z23</f>
        <v>0.86025085240509802</v>
      </c>
      <c r="AA24" s="95"/>
      <c r="AB24" s="286">
        <f>0.123*AB23</f>
        <v>2.1119563223974893</v>
      </c>
      <c r="AC24" s="95"/>
      <c r="AD24" s="286">
        <f>0.123*AD23</f>
        <v>3.7702933361577982</v>
      </c>
      <c r="AE24" s="95"/>
      <c r="AF24" s="286">
        <f>0.123*AF23</f>
        <v>3.5611877460586392</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1798188.4196152538</v>
      </c>
      <c r="C27" s="317">
        <f>D18</f>
        <v>109680.26408200094</v>
      </c>
      <c r="D27" s="317">
        <f>D15</f>
        <v>1211197.0460000001</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2464131.8360000001</v>
      </c>
      <c r="C28" s="317">
        <f>C18</f>
        <v>108349.35999999997</v>
      </c>
      <c r="D28" s="317">
        <f>C15</f>
        <v>1211197.0460000001</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796" t="s">
        <v>1192</v>
      </c>
      <c r="B32" s="1796"/>
      <c r="C32" s="1796"/>
      <c r="D32" s="1796"/>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766" t="s">
        <v>834</v>
      </c>
      <c r="B33" s="1776" t="s">
        <v>1174</v>
      </c>
      <c r="C33" s="1772" t="s">
        <v>1338</v>
      </c>
      <c r="D33" s="1792" t="s">
        <v>1337</v>
      </c>
      <c r="E33" s="74"/>
      <c r="F33" s="74"/>
      <c r="G33" s="1768" t="s">
        <v>834</v>
      </c>
      <c r="H33" s="1762" t="s">
        <v>1174</v>
      </c>
      <c r="I33" s="1803" t="s">
        <v>488</v>
      </c>
      <c r="J33" s="1804"/>
      <c r="K33" s="1803" t="s">
        <v>489</v>
      </c>
      <c r="L33" s="1804"/>
      <c r="M33" s="1803" t="s">
        <v>490</v>
      </c>
      <c r="N33" s="1804"/>
      <c r="O33" s="1803" t="s">
        <v>491</v>
      </c>
      <c r="P33" s="1804"/>
      <c r="Q33" s="1803" t="s">
        <v>805</v>
      </c>
      <c r="R33" s="1804"/>
      <c r="S33" s="1803" t="s">
        <v>806</v>
      </c>
      <c r="T33" s="1804"/>
      <c r="U33" s="1803" t="s">
        <v>807</v>
      </c>
      <c r="V33" s="1804"/>
      <c r="W33" s="1803" t="s">
        <v>808</v>
      </c>
      <c r="X33" s="1804"/>
      <c r="Y33" s="1803" t="s">
        <v>809</v>
      </c>
      <c r="Z33" s="1804"/>
      <c r="AA33" s="1803" t="s">
        <v>482</v>
      </c>
      <c r="AB33" s="1804"/>
      <c r="AC33" s="1803" t="s">
        <v>486</v>
      </c>
      <c r="AD33" s="1804"/>
      <c r="AE33" s="1803" t="s">
        <v>487</v>
      </c>
      <c r="AF33" s="1804"/>
      <c r="AG33" s="74"/>
      <c r="AH33" s="74"/>
      <c r="AI33" s="74"/>
      <c r="AJ33" s="74"/>
      <c r="AK33" s="74"/>
      <c r="AL33" s="74"/>
      <c r="AM33" s="74"/>
      <c r="AN33" s="74"/>
      <c r="AO33" s="74"/>
      <c r="AP33" s="74"/>
      <c r="AQ33" s="74"/>
      <c r="AR33" s="74"/>
      <c r="AS33" s="74"/>
      <c r="AT33" s="74"/>
      <c r="AU33" s="74"/>
    </row>
    <row r="34" spans="1:55" ht="74.45" customHeight="1" thickBot="1" x14ac:dyDescent="0.3">
      <c r="A34" s="1767"/>
      <c r="B34" s="1777"/>
      <c r="C34" s="1809"/>
      <c r="D34" s="1808"/>
      <c r="E34" s="74"/>
      <c r="F34" s="74"/>
      <c r="G34" s="1769"/>
      <c r="H34" s="1763"/>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25">
      <c r="A35" s="321" t="s">
        <v>1194</v>
      </c>
      <c r="B35" s="322" t="s">
        <v>842</v>
      </c>
      <c r="C35" s="323">
        <f>'Расчет базового уровня'!D35</f>
        <v>2464131.8360000001</v>
      </c>
      <c r="D35" s="324">
        <f>D38+D62+D65+D68-D71</f>
        <v>1798188.4196152538</v>
      </c>
      <c r="E35" s="74"/>
      <c r="F35" s="74"/>
      <c r="G35" s="325" t="s">
        <v>1192</v>
      </c>
      <c r="H35" s="326" t="s">
        <v>842</v>
      </c>
      <c r="I35" s="323">
        <f>'Расчет базового уровня'!J35</f>
        <v>410539</v>
      </c>
      <c r="J35" s="327">
        <f>J38+J62+J65+J68-J71</f>
        <v>347141.76870579045</v>
      </c>
      <c r="K35" s="323">
        <f>'Расчет базового уровня'!M35</f>
        <v>404724</v>
      </c>
      <c r="L35" s="328">
        <f>L38+L62+L65+L68-L71</f>
        <v>294630.33602570579</v>
      </c>
      <c r="M35" s="323">
        <f>'Расчет базового уровня'!P35</f>
        <v>286995.83600000001</v>
      </c>
      <c r="N35" s="327">
        <f>N38+N62+N65+N68-N71</f>
        <v>235126.59524465445</v>
      </c>
      <c r="O35" s="323">
        <f>'Расчет базового уровня'!S35</f>
        <v>261675</v>
      </c>
      <c r="P35" s="328">
        <f>P38+P62+P65+P68-P71</f>
        <v>56349.717076603134</v>
      </c>
      <c r="Q35" s="323">
        <f>'Расчет базового уровня'!V35</f>
        <v>139560</v>
      </c>
      <c r="R35" s="327">
        <f>R38+R62+R65+R68-R71</f>
        <v>14177.138463802898</v>
      </c>
      <c r="S35" s="323">
        <f>'Расчет базового уровня'!Y35</f>
        <v>0</v>
      </c>
      <c r="T35" s="327">
        <f>T38+T62+T65+T68-T71</f>
        <v>0</v>
      </c>
      <c r="U35" s="323">
        <f>'Расчет базового уровня'!AB35</f>
        <v>0</v>
      </c>
      <c r="V35" s="327">
        <f>V38+V62+V65+V68-V71</f>
        <v>0</v>
      </c>
      <c r="W35" s="323">
        <f>'Расчет базового уровня'!AE35</f>
        <v>0</v>
      </c>
      <c r="X35" s="327">
        <f>X38+X62+X65+X68-X71</f>
        <v>0</v>
      </c>
      <c r="Y35" s="323">
        <f>'Расчет базового уровня'!AH35</f>
        <v>1163</v>
      </c>
      <c r="Z35" s="327">
        <f>Z38+Z62+Z65+Z68-Z71</f>
        <v>0</v>
      </c>
      <c r="AA35" s="323">
        <f>'Расчет базового уровня'!AK35</f>
        <v>162820</v>
      </c>
      <c r="AB35" s="327">
        <f>AB38+AB62+AB65+AB68-AB71</f>
        <v>148405.52256003703</v>
      </c>
      <c r="AC35" s="323">
        <f>'Расчет базового уровня'!AN35</f>
        <v>407050</v>
      </c>
      <c r="AD35" s="327">
        <f>AD38+AD62+AD65+AD68-AD71</f>
        <v>319455.28326843452</v>
      </c>
      <c r="AE35" s="323">
        <f>'Расчет базового уровня'!AQ35</f>
        <v>389605</v>
      </c>
      <c r="AF35" s="327">
        <f>AF38+AF62+AF65+AF68-AF71</f>
        <v>301636.0086884771</v>
      </c>
      <c r="AG35" s="74"/>
      <c r="AH35" s="74"/>
      <c r="AI35" s="74"/>
      <c r="AJ35" s="74"/>
      <c r="AK35" s="74"/>
      <c r="AL35" s="74"/>
      <c r="AM35" s="74"/>
      <c r="AN35" s="74"/>
      <c r="AO35" s="74"/>
      <c r="AP35" s="74"/>
      <c r="AQ35" s="74"/>
      <c r="AR35" s="74"/>
      <c r="AS35" s="74"/>
      <c r="AT35" s="74"/>
      <c r="AU35" s="74"/>
    </row>
    <row r="36" spans="1:55" ht="11.25" customHeight="1" x14ac:dyDescent="0.25">
      <c r="A36" s="307" t="s">
        <v>1339</v>
      </c>
      <c r="B36" s="304" t="s">
        <v>842</v>
      </c>
      <c r="C36" s="308"/>
      <c r="D36" s="308">
        <f>C35-D35</f>
        <v>665943.41638474632</v>
      </c>
      <c r="E36" s="74"/>
      <c r="F36" s="74"/>
      <c r="G36" s="307" t="s">
        <v>1339</v>
      </c>
      <c r="H36" s="304" t="s">
        <v>842</v>
      </c>
      <c r="I36" s="308"/>
      <c r="J36" s="308">
        <f>I35-J35</f>
        <v>63397.231294209545</v>
      </c>
      <c r="K36" s="308"/>
      <c r="L36" s="308">
        <f>K35-L35</f>
        <v>110093.66397429421</v>
      </c>
      <c r="M36" s="308"/>
      <c r="N36" s="308">
        <f>M35-N35</f>
        <v>51869.240755345556</v>
      </c>
      <c r="O36" s="308"/>
      <c r="P36" s="308">
        <f>O35-P35</f>
        <v>205325.28292339685</v>
      </c>
      <c r="Q36" s="308"/>
      <c r="R36" s="308">
        <f>Q35-R35</f>
        <v>125382.8615361971</v>
      </c>
      <c r="S36" s="308"/>
      <c r="T36" s="308">
        <f>S35-T35</f>
        <v>0</v>
      </c>
      <c r="U36" s="308"/>
      <c r="V36" s="308">
        <f>U35-V35</f>
        <v>0</v>
      </c>
      <c r="W36" s="308"/>
      <c r="X36" s="308">
        <f>W35-X35</f>
        <v>0</v>
      </c>
      <c r="Y36" s="308"/>
      <c r="Z36" s="308">
        <f>Y35-Z35</f>
        <v>1163</v>
      </c>
      <c r="AA36" s="308"/>
      <c r="AB36" s="308">
        <f>AA35-AB35</f>
        <v>14414.477439962968</v>
      </c>
      <c r="AC36" s="308"/>
      <c r="AD36" s="308">
        <f>AC35-AD35</f>
        <v>87594.716731565481</v>
      </c>
      <c r="AE36" s="308"/>
      <c r="AF36" s="308">
        <f>AE35-AF35</f>
        <v>87968.991311522899</v>
      </c>
      <c r="AG36" s="74"/>
      <c r="AH36" s="74"/>
      <c r="AI36" s="74"/>
      <c r="AJ36" s="74"/>
      <c r="AK36" s="74"/>
      <c r="AL36" s="74"/>
      <c r="AM36" s="74"/>
      <c r="AN36" s="74"/>
      <c r="AO36" s="74"/>
      <c r="AP36" s="74"/>
      <c r="AQ36" s="74"/>
      <c r="AR36" s="74"/>
      <c r="AS36" s="74"/>
      <c r="AT36" s="74"/>
      <c r="AU36" s="74"/>
    </row>
    <row r="37" spans="1:55" ht="15.75" thickBot="1" x14ac:dyDescent="0.3">
      <c r="A37" s="307" t="s">
        <v>874</v>
      </c>
      <c r="B37" s="309" t="s">
        <v>1181</v>
      </c>
      <c r="C37" s="310"/>
      <c r="D37" s="310">
        <f>IF(C35=0,0,D36/C35)</f>
        <v>0.27025478371553585</v>
      </c>
      <c r="E37" s="74"/>
      <c r="F37" s="74"/>
      <c r="G37" s="307" t="s">
        <v>874</v>
      </c>
      <c r="H37" s="309" t="s">
        <v>1181</v>
      </c>
      <c r="I37" s="310"/>
      <c r="J37" s="310">
        <f>IF(I35=0,0,J36/I35)</f>
        <v>0.15442438183512297</v>
      </c>
      <c r="K37" s="310"/>
      <c r="L37" s="310">
        <f>IF(K35=0,0,L36/K35)</f>
        <v>0.27202158501668844</v>
      </c>
      <c r="M37" s="310"/>
      <c r="N37" s="310">
        <f>IF(M35=0,0,N36/M35)</f>
        <v>0.18073168404905204</v>
      </c>
      <c r="O37" s="310"/>
      <c r="P37" s="310">
        <f>IF(O35=0,0,P36/O35)</f>
        <v>0.78465762080212798</v>
      </c>
      <c r="Q37" s="310"/>
      <c r="R37" s="310">
        <f>IF(Q35=0,0,R36/Q35)</f>
        <v>0.89841545956002511</v>
      </c>
      <c r="S37" s="310"/>
      <c r="T37" s="310">
        <f>IF(S35=0,0,T36/S35)</f>
        <v>0</v>
      </c>
      <c r="U37" s="310"/>
      <c r="V37" s="310">
        <f>IF(U35=0,0,V36/U35)</f>
        <v>0</v>
      </c>
      <c r="W37" s="310"/>
      <c r="X37" s="310">
        <f>IF(W35=0,0,X36/W35)</f>
        <v>0</v>
      </c>
      <c r="Y37" s="310"/>
      <c r="Z37" s="310">
        <f>IF(Y35=0,0,Z36/Y35)</f>
        <v>1</v>
      </c>
      <c r="AA37" s="310"/>
      <c r="AB37" s="310">
        <f>IF(AA35=0,0,AB36/AA35)</f>
        <v>8.8530140277379737E-2</v>
      </c>
      <c r="AC37" s="310"/>
      <c r="AD37" s="310">
        <f>IF(AC35=0,0,AD36/AC35)</f>
        <v>0.21519399762084629</v>
      </c>
      <c r="AE37" s="310"/>
      <c r="AF37" s="310">
        <f>IF(AE35=0,0,AF36/AE35)</f>
        <v>0.22579020113069109</v>
      </c>
      <c r="AG37" s="74"/>
      <c r="AH37" s="74"/>
      <c r="AI37" s="74"/>
      <c r="AJ37" s="74"/>
      <c r="AK37" s="74"/>
      <c r="AL37" s="74"/>
      <c r="AM37" s="74"/>
      <c r="AN37" s="74"/>
      <c r="AO37" s="74"/>
      <c r="AP37" s="74"/>
      <c r="AQ37" s="74"/>
      <c r="AR37" s="74"/>
      <c r="AS37" s="74"/>
      <c r="AT37" s="74"/>
      <c r="AU37" s="74"/>
    </row>
    <row r="38" spans="1:55" ht="29.25" customHeight="1" x14ac:dyDescent="0.25">
      <c r="A38" s="329" t="s">
        <v>1195</v>
      </c>
      <c r="B38" s="322" t="s">
        <v>842</v>
      </c>
      <c r="C38" s="323">
        <f>'Расчет базового уровня'!D38</f>
        <v>1587016.5953519468</v>
      </c>
      <c r="D38" s="330">
        <f>D41+D44+D47+D50+D53+D56+D59</f>
        <v>1242390.8480518628</v>
      </c>
      <c r="E38" s="74"/>
      <c r="F38" s="74"/>
      <c r="G38" s="325" t="s">
        <v>1196</v>
      </c>
      <c r="H38" s="331" t="s">
        <v>842</v>
      </c>
      <c r="I38" s="323">
        <f>'Расчет базового уровня'!J38</f>
        <v>261387.49332522508</v>
      </c>
      <c r="J38" s="330">
        <f>J41+J44+J47+J50+J53+J56+J59</f>
        <v>229664.55552504057</v>
      </c>
      <c r="K38" s="323">
        <f>'Расчет базового уровня'!M38</f>
        <v>252056.7954423895</v>
      </c>
      <c r="L38" s="330">
        <f>L41+L44+L47+L50+L53+L56+L59</f>
        <v>194866.89559700413</v>
      </c>
      <c r="M38" s="323">
        <f>'Расчет базового уровня'!P38</f>
        <v>194345.77702684494</v>
      </c>
      <c r="N38" s="330">
        <f>N41+N44+N47+N50+N53+N56+N59</f>
        <v>167625.29896762705</v>
      </c>
      <c r="O38" s="323">
        <f>'Расчет базового уровня'!S38</f>
        <v>169056.41750940381</v>
      </c>
      <c r="P38" s="330">
        <f>P41+P44+P47+P50+P53+P56+P59</f>
        <v>63565.863573611299</v>
      </c>
      <c r="Q38" s="323">
        <f>'Расчет базового уровня'!V38</f>
        <v>41827.533483961735</v>
      </c>
      <c r="R38" s="330">
        <f>R41+R44+R47+R50+R53+R56+R59</f>
        <v>36433.310302534017</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636.62157733429297</v>
      </c>
      <c r="Z38" s="330">
        <f>Z41+Z44+Z47+Z50+Z53+Z56+Z59</f>
        <v>0</v>
      </c>
      <c r="AA38" s="323">
        <f>'Расчет базового уровня'!AK38</f>
        <v>124280.75452136158</v>
      </c>
      <c r="AB38" s="330">
        <f>AB41+AB44+AB47+AB50+AB53+AB56+AB59</f>
        <v>122097.5905401582</v>
      </c>
      <c r="AC38" s="323">
        <f>'Расчет базового уровня'!AN38</f>
        <v>249966.89013625548</v>
      </c>
      <c r="AD38" s="330">
        <f>AD41+AD44+AD47+AD50+AD53+AD56+AD59</f>
        <v>210902.68358227442</v>
      </c>
      <c r="AE38" s="323">
        <f>'Расчет базового уровня'!AQ38</f>
        <v>249165.37213209417</v>
      </c>
      <c r="AF38" s="330">
        <f>AF41+AF44+AF47+AF50+AF53+AF56+AF59</f>
        <v>203284.61523673873</v>
      </c>
      <c r="AG38" s="74"/>
      <c r="AH38" s="74"/>
      <c r="AI38" s="74"/>
      <c r="AJ38" s="74"/>
      <c r="AK38" s="74"/>
      <c r="AL38" s="74"/>
      <c r="AM38" s="74"/>
      <c r="AN38" s="74"/>
      <c r="AO38" s="74"/>
      <c r="AP38" s="74"/>
      <c r="AQ38" s="74"/>
      <c r="AR38" s="74"/>
      <c r="AS38" s="74"/>
      <c r="AT38" s="74"/>
      <c r="AU38" s="74"/>
    </row>
    <row r="39" spans="1:55" x14ac:dyDescent="0.25">
      <c r="A39" s="307" t="s">
        <v>1339</v>
      </c>
      <c r="B39" s="304" t="s">
        <v>842</v>
      </c>
      <c r="C39" s="308"/>
      <c r="D39" s="308">
        <f>C38-D38</f>
        <v>344625.74730008398</v>
      </c>
      <c r="E39" s="74"/>
      <c r="F39" s="74"/>
      <c r="G39" s="307" t="s">
        <v>1339</v>
      </c>
      <c r="H39" s="304" t="s">
        <v>842</v>
      </c>
      <c r="I39" s="308"/>
      <c r="J39" s="308">
        <f>I38-J38</f>
        <v>31722.937800184503</v>
      </c>
      <c r="K39" s="308"/>
      <c r="L39" s="308">
        <f>K38-L38</f>
        <v>57189.899845385371</v>
      </c>
      <c r="M39" s="308"/>
      <c r="N39" s="308">
        <f>M38-N38</f>
        <v>26720.478059217887</v>
      </c>
      <c r="O39" s="308"/>
      <c r="P39" s="308">
        <f>O38-P38</f>
        <v>105490.5539357925</v>
      </c>
      <c r="Q39" s="308"/>
      <c r="R39" s="308">
        <f>Q38-R38</f>
        <v>5394.2231814277184</v>
      </c>
      <c r="S39" s="308"/>
      <c r="T39" s="308">
        <f>S38-T38</f>
        <v>0</v>
      </c>
      <c r="U39" s="308"/>
      <c r="V39" s="308">
        <f>U38-V38</f>
        <v>0</v>
      </c>
      <c r="W39" s="308"/>
      <c r="X39" s="308">
        <f>W38-X38</f>
        <v>0</v>
      </c>
      <c r="Y39" s="308"/>
      <c r="Z39" s="308">
        <f>Y38-Z38</f>
        <v>636.62157733429297</v>
      </c>
      <c r="AA39" s="308"/>
      <c r="AB39" s="308">
        <f>AA38-AB38</f>
        <v>2183.1639812033827</v>
      </c>
      <c r="AC39" s="308"/>
      <c r="AD39" s="308">
        <f>AC38-AD38</f>
        <v>39064.206553981057</v>
      </c>
      <c r="AE39" s="308"/>
      <c r="AF39" s="308">
        <f>AE38-AF38</f>
        <v>45880.756895355444</v>
      </c>
      <c r="AG39" s="74"/>
      <c r="AH39" s="74"/>
      <c r="AI39" s="74"/>
      <c r="AJ39" s="74"/>
      <c r="AK39" s="74"/>
      <c r="AL39" s="74"/>
      <c r="AM39" s="74"/>
      <c r="AN39" s="74"/>
      <c r="AO39" s="74"/>
      <c r="AP39" s="74"/>
      <c r="AQ39" s="74"/>
      <c r="AR39" s="74"/>
      <c r="AS39" s="74"/>
      <c r="AT39" s="74"/>
      <c r="AU39" s="74"/>
    </row>
    <row r="40" spans="1:55" ht="15.75" thickBot="1" x14ac:dyDescent="0.3">
      <c r="A40" s="307" t="s">
        <v>874</v>
      </c>
      <c r="B40" s="309" t="s">
        <v>1181</v>
      </c>
      <c r="C40" s="310"/>
      <c r="D40" s="310">
        <f>IF(C38=0,0,D39/C38)</f>
        <v>0.21715320955648709</v>
      </c>
      <c r="E40" s="74"/>
      <c r="F40" s="74"/>
      <c r="G40" s="307" t="s">
        <v>874</v>
      </c>
      <c r="H40" s="309" t="s">
        <v>1181</v>
      </c>
      <c r="I40" s="310"/>
      <c r="J40" s="310">
        <f>IF(I38=0,0,J39/I38)</f>
        <v>0.12136364061119789</v>
      </c>
      <c r="K40" s="310"/>
      <c r="L40" s="310">
        <f>IF(K38=0,0,L39/K38)</f>
        <v>0.22689291016737054</v>
      </c>
      <c r="M40" s="310"/>
      <c r="N40" s="310">
        <f>IF(M38=0,0,N39/M38)</f>
        <v>0.13748936801197895</v>
      </c>
      <c r="O40" s="310"/>
      <c r="P40" s="310">
        <f>IF(O38=0,0,P39/O38)</f>
        <v>0.62399615163928668</v>
      </c>
      <c r="Q40" s="310"/>
      <c r="R40" s="310">
        <f>IF(Q38=0,0,R39/Q38)</f>
        <v>0.12896345378567609</v>
      </c>
      <c r="S40" s="310"/>
      <c r="T40" s="310">
        <f>IF(S38=0,0,T39/S38)</f>
        <v>0</v>
      </c>
      <c r="U40" s="310"/>
      <c r="V40" s="310">
        <f>IF(U38=0,0,V39/U38)</f>
        <v>0</v>
      </c>
      <c r="W40" s="310"/>
      <c r="X40" s="310">
        <f>IF(W38=0,0,X39/W38)</f>
        <v>0</v>
      </c>
      <c r="Y40" s="310"/>
      <c r="Z40" s="310">
        <f>IF(Y38=0,0,Z39/Y38)</f>
        <v>1</v>
      </c>
      <c r="AA40" s="310"/>
      <c r="AB40" s="310">
        <f>IF(AA38=0,0,AB39/AA38)</f>
        <v>1.7566388212007008E-2</v>
      </c>
      <c r="AC40" s="310"/>
      <c r="AD40" s="310">
        <f>IF(AC38=0,0,AD39/AC38)</f>
        <v>0.15627752352596533</v>
      </c>
      <c r="AE40" s="310"/>
      <c r="AF40" s="310">
        <f>IF(AE38=0,0,AF39/AE38)</f>
        <v>0.18413777365111519</v>
      </c>
      <c r="AG40" s="74"/>
      <c r="AH40" s="74"/>
      <c r="AI40" s="74"/>
      <c r="AJ40" s="74"/>
      <c r="AK40" s="74"/>
      <c r="AL40" s="74"/>
      <c r="AM40" s="74"/>
      <c r="AN40" s="74"/>
      <c r="AO40" s="74"/>
      <c r="AP40" s="74"/>
      <c r="AQ40" s="74"/>
      <c r="AR40" s="74"/>
      <c r="AS40" s="74"/>
      <c r="AT40" s="74"/>
      <c r="AU40" s="74"/>
    </row>
    <row r="41" spans="1:55" ht="15.75" customHeight="1" x14ac:dyDescent="0.25">
      <c r="A41" s="332" t="s">
        <v>1197</v>
      </c>
      <c r="B41" s="322" t="s">
        <v>842</v>
      </c>
      <c r="C41" s="323">
        <f>'Расчет базового уровня'!D41</f>
        <v>856554.94675077032</v>
      </c>
      <c r="D41" s="333">
        <f>IF(IF(C134=0,0,B134/C134*D134)*0.024*$D$147*(1-D163)&gt;C41,C41,IF(C134=0,0,B134/C134*D134)*0.024*$D$147*(1-D163))</f>
        <v>592618.04291199986</v>
      </c>
      <c r="E41" s="74"/>
      <c r="F41" s="74"/>
      <c r="G41" s="334" t="s">
        <v>1197</v>
      </c>
      <c r="H41" s="326" t="s">
        <v>842</v>
      </c>
      <c r="I41" s="323">
        <f>'Расчет базового уровня'!J41</f>
        <v>141077.76256545927</v>
      </c>
      <c r="J41" s="335">
        <f>IF($C134=0,0,MIN($B134/$C134*$D134*0.024*$G$147,I41))</f>
        <v>109549.55087999995</v>
      </c>
      <c r="K41" s="323">
        <f>'Расчет базового уровня'!M41</f>
        <v>136041.7374529384</v>
      </c>
      <c r="L41" s="335">
        <f>IF($C134=0,0,MIN($B134/$C134*$D134*0.024*$H$147,K41))</f>
        <v>92951.13407999996</v>
      </c>
      <c r="M41" s="323">
        <f>'Расчет базового уровня'!P41</f>
        <v>104893.5702247961</v>
      </c>
      <c r="N41" s="335">
        <f>IF($C134=0,0,MIN($B134/$C134*$D134*0.024*$I$147,M41))</f>
        <v>79956.944927999983</v>
      </c>
      <c r="O41" s="323">
        <f>'Расчет базового уровня'!S41</f>
        <v>91244.23217863719</v>
      </c>
      <c r="P41" s="335">
        <f>IF($C134=0,0,MIN($B134/$C134*$D134*0.024*$J$147,O41))</f>
        <v>30320.794559999995</v>
      </c>
      <c r="Q41" s="323">
        <f>'Расчет базового уровня'!V41</f>
        <v>22575.429154933045</v>
      </c>
      <c r="R41" s="335">
        <f>IF($C134=0,0,MIN($B134/$C134*$D134*0.024*$K$147,Q41))</f>
        <v>17378.618879999995</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343.60154951816196</v>
      </c>
      <c r="Z41" s="335">
        <f>IF($C134=0,0,MIN($B134/$C134*$D134*0.024*$O$147,Y41))</f>
        <v>0</v>
      </c>
      <c r="AA41" s="323">
        <f>'Расчет базового уровня'!AK41</f>
        <v>67077.619341203346</v>
      </c>
      <c r="AB41" s="335">
        <f>IF($C134=0,0,MIN($B134/$C134*$D134*0.024*$P$147,AA41))</f>
        <v>64894.455359999993</v>
      </c>
      <c r="AC41" s="323">
        <f>'Расчет базового уровня'!AN41</f>
        <v>134913.76013155899</v>
      </c>
      <c r="AD41" s="335">
        <f>IF($C134=0,0,MIN($B134/$C134*$D134*0.024*$Q$147,AC41))</f>
        <v>100600.17407999998</v>
      </c>
      <c r="AE41" s="323">
        <f>'Расчет базового уровня'!AQ41</f>
        <v>134481.15960716316</v>
      </c>
      <c r="AF41" s="335">
        <f>IF($C134=0,0,MIN($B134/$C134*$D134*0.024*$R$147,AE41))</f>
        <v>96966.370143999986</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25">
      <c r="A42" s="307" t="s">
        <v>1339</v>
      </c>
      <c r="B42" s="304" t="s">
        <v>842</v>
      </c>
      <c r="C42" s="308"/>
      <c r="D42" s="308">
        <f>C41-D41</f>
        <v>263936.90383877046</v>
      </c>
      <c r="E42" s="74"/>
      <c r="F42" s="74"/>
      <c r="G42" s="307" t="s">
        <v>1339</v>
      </c>
      <c r="H42" s="304" t="s">
        <v>842</v>
      </c>
      <c r="I42" s="308"/>
      <c r="J42" s="308">
        <f>I41-J41</f>
        <v>31528.211685459319</v>
      </c>
      <c r="K42" s="308"/>
      <c r="L42" s="308">
        <f>K41-L41</f>
        <v>43090.603372938436</v>
      </c>
      <c r="M42" s="308"/>
      <c r="N42" s="308">
        <f>M41-N41</f>
        <v>24936.625296796119</v>
      </c>
      <c r="O42" s="308"/>
      <c r="P42" s="308">
        <f>O41-P41</f>
        <v>60923.437618637196</v>
      </c>
      <c r="Q42" s="308"/>
      <c r="R42" s="308">
        <f>Q41-R41</f>
        <v>5196.8102749330501</v>
      </c>
      <c r="S42" s="308"/>
      <c r="T42" s="308">
        <f>S41-T41</f>
        <v>0</v>
      </c>
      <c r="U42" s="308"/>
      <c r="V42" s="308">
        <f>U41-V41</f>
        <v>0</v>
      </c>
      <c r="W42" s="308"/>
      <c r="X42" s="308">
        <f>W41-X41</f>
        <v>0</v>
      </c>
      <c r="Y42" s="308"/>
      <c r="Z42" s="308">
        <f>Y41-Z41</f>
        <v>343.60154951816196</v>
      </c>
      <c r="AA42" s="308"/>
      <c r="AB42" s="308">
        <f>AA41-AB41</f>
        <v>2183.1639812033536</v>
      </c>
      <c r="AC42" s="308"/>
      <c r="AD42" s="308">
        <f>AC41-AD41</f>
        <v>34313.586051559003</v>
      </c>
      <c r="AE42" s="308"/>
      <c r="AF42" s="308">
        <f>AE41-AF41</f>
        <v>37514.789463163179</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x14ac:dyDescent="0.3">
      <c r="A43" s="307" t="s">
        <v>874</v>
      </c>
      <c r="B43" s="309" t="s">
        <v>1181</v>
      </c>
      <c r="C43" s="310"/>
      <c r="D43" s="310">
        <f>IF(C41=0,0,D42/C41)</f>
        <v>0.30813773808671674</v>
      </c>
      <c r="E43" s="74"/>
      <c r="F43" s="74"/>
      <c r="G43" s="307" t="s">
        <v>874</v>
      </c>
      <c r="H43" s="309" t="s">
        <v>1181</v>
      </c>
      <c r="I43" s="310"/>
      <c r="J43" s="310">
        <f>IF(I41=0,0,J42/I41)</f>
        <v>0.22348108668671585</v>
      </c>
      <c r="K43" s="310"/>
      <c r="L43" s="310">
        <f>IF(K41=0,0,L42/K41)</f>
        <v>0.3167454648823857</v>
      </c>
      <c r="M43" s="310"/>
      <c r="N43" s="310">
        <f>IF(M41=0,0,N42/M41)</f>
        <v>0.23773263931578217</v>
      </c>
      <c r="O43" s="310"/>
      <c r="P43" s="310">
        <f>IF(O41=0,0,P42/O41)</f>
        <v>0.66769631530639439</v>
      </c>
      <c r="Q43" s="310"/>
      <c r="R43" s="310">
        <f>IF(Q41=0,0,R42/Q41)</f>
        <v>0.23019762943454278</v>
      </c>
      <c r="S43" s="310"/>
      <c r="T43" s="310">
        <f>IF(S41=0,0,T42/S41)</f>
        <v>0</v>
      </c>
      <c r="U43" s="310"/>
      <c r="V43" s="310">
        <f>IF(U41=0,0,V42/U41)</f>
        <v>0</v>
      </c>
      <c r="W43" s="310"/>
      <c r="X43" s="310">
        <f>IF(W41=0,0,X42/W41)</f>
        <v>0</v>
      </c>
      <c r="Y43" s="310"/>
      <c r="Z43" s="310">
        <f>IF(Y41=0,0,Z42/Y41)</f>
        <v>1</v>
      </c>
      <c r="AA43" s="310"/>
      <c r="AB43" s="310">
        <f>IF(AA41=0,0,AB42/AA41)</f>
        <v>3.2546831605609998E-2</v>
      </c>
      <c r="AC43" s="310"/>
      <c r="AD43" s="310">
        <f>IF(AC41=0,0,AD42/AC41)</f>
        <v>0.25433718560729951</v>
      </c>
      <c r="AE43" s="310"/>
      <c r="AF43" s="310">
        <f>IF(AE41=0,0,AF42/AE41)</f>
        <v>0.27895944363321024</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25">
      <c r="A44" s="332" t="s">
        <v>1199</v>
      </c>
      <c r="B44" s="322" t="s">
        <v>842</v>
      </c>
      <c r="C44" s="323">
        <f>'Расчет базового уровня'!D44</f>
        <v>407196.91326989461</v>
      </c>
      <c r="D44" s="333">
        <f>IF(IF(C135=0,0,B135/C135*D135)*0.024*$D$147&gt;C44,C44,IF(C135=0,0,B135/C135*D135)*0.024*$D$147)</f>
        <v>362216.79959016386</v>
      </c>
      <c r="E44" s="74"/>
      <c r="F44" s="74"/>
      <c r="G44" s="334" t="s">
        <v>1199</v>
      </c>
      <c r="H44" s="326" t="s">
        <v>842</v>
      </c>
      <c r="I44" s="323">
        <f>'Расчет базового уровня'!J44</f>
        <v>67066.835193228006</v>
      </c>
      <c r="J44" s="335">
        <f>IF($C135=0,0,MIN($B135/$C135*$D135*0.024*$G$147,I44))</f>
        <v>66958.284836065563</v>
      </c>
      <c r="K44" s="323">
        <f>'Расчет базового уровня'!M44</f>
        <v>64672.763582589301</v>
      </c>
      <c r="L44" s="335">
        <f>IF($C135=0,0,MIN($B135/$C135*$D135*0.024*$H$147,K44))</f>
        <v>56813.090163934408</v>
      </c>
      <c r="M44" s="323">
        <f>'Расчет базового уровня'!P44</f>
        <v>49865.263377929921</v>
      </c>
      <c r="N44" s="335">
        <f>IF($C135=0,0,MIN($B135/$C135*$D135*0.024*$I$147,M44))</f>
        <v>48870.852049180321</v>
      </c>
      <c r="O44" s="323">
        <f>'Расчет базового уровня'!S44</f>
        <v>43376.516401852474</v>
      </c>
      <c r="P44" s="335">
        <f>IF($C135=0,0,MIN($B135/$C135*$D135*0.024*$J$147,O44))</f>
        <v>18532.512295081964</v>
      </c>
      <c r="Q44" s="323">
        <f>'Расчет базового уровня'!V44</f>
        <v>10732.113686930445</v>
      </c>
      <c r="R44" s="335">
        <f>IF($C135=0,0,MIN($B135/$C135*$D135*0.024*$K$147,Q44))</f>
        <v>10622.065573770489</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163.34444262950322</v>
      </c>
      <c r="Z44" s="335">
        <f>IF($C135=0,0,MIN($B135/$C135*$D135*0.024*$O$147,Y44))</f>
        <v>0</v>
      </c>
      <c r="AA44" s="323">
        <f>'Расчет базового уровня'!AK44</f>
        <v>31887.971284086707</v>
      </c>
      <c r="AB44" s="335">
        <f>IF($C135=0,0,MIN($B135/$C135*$D135*0.024*$P$147,AA44))</f>
        <v>31887.971284086707</v>
      </c>
      <c r="AC44" s="323">
        <f>'Расчет базового уровня'!AN44</f>
        <v>64136.535422041663</v>
      </c>
      <c r="AD44" s="335">
        <f>IF($C135=0,0,MIN($B135/$C135*$D135*0.024*$Q$147,AC44))</f>
        <v>61488.295081967211</v>
      </c>
      <c r="AE44" s="323">
        <f>'Расчет базового уровня'!AQ44</f>
        <v>63930.881833931358</v>
      </c>
      <c r="AF44" s="335">
        <f>IF($C135=0,0,MIN($B135/$C135*$D135*0.024*$R$147,AE44))</f>
        <v>59267.261065573766</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25">
      <c r="A45" s="307" t="s">
        <v>1339</v>
      </c>
      <c r="B45" s="304" t="s">
        <v>842</v>
      </c>
      <c r="C45" s="308"/>
      <c r="D45" s="308">
        <f>C44-D44</f>
        <v>44980.113679730741</v>
      </c>
      <c r="E45" s="74"/>
      <c r="F45" s="74"/>
      <c r="G45" s="307" t="s">
        <v>1339</v>
      </c>
      <c r="H45" s="304" t="s">
        <v>842</v>
      </c>
      <c r="I45" s="308"/>
      <c r="J45" s="308">
        <f>I44-J44</f>
        <v>108.55035716244311</v>
      </c>
      <c r="K45" s="308"/>
      <c r="L45" s="308">
        <f>K44-L44</f>
        <v>7859.6734186548929</v>
      </c>
      <c r="M45" s="308"/>
      <c r="N45" s="308">
        <f>M44-N44</f>
        <v>994.41132874960022</v>
      </c>
      <c r="O45" s="308"/>
      <c r="P45" s="308">
        <f>O44-P44</f>
        <v>24844.00410677051</v>
      </c>
      <c r="Q45" s="308"/>
      <c r="R45" s="308">
        <f>Q44-R44</f>
        <v>110.04811315995539</v>
      </c>
      <c r="S45" s="308"/>
      <c r="T45" s="308">
        <f>S44-T44</f>
        <v>0</v>
      </c>
      <c r="U45" s="308"/>
      <c r="V45" s="308">
        <f>U44-V44</f>
        <v>0</v>
      </c>
      <c r="W45" s="308"/>
      <c r="X45" s="308">
        <f>W44-X44</f>
        <v>0</v>
      </c>
      <c r="Y45" s="308"/>
      <c r="Z45" s="308">
        <f>Y44-Z44</f>
        <v>163.34444262950322</v>
      </c>
      <c r="AA45" s="308"/>
      <c r="AB45" s="308">
        <f>AA44-AB44</f>
        <v>0</v>
      </c>
      <c r="AC45" s="308"/>
      <c r="AD45" s="308">
        <f>AC44-AD44</f>
        <v>2648.2403400744515</v>
      </c>
      <c r="AE45" s="308"/>
      <c r="AF45" s="308">
        <f>AE44-AF44</f>
        <v>4663.6207683575922</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
      <c r="A46" s="307" t="s">
        <v>874</v>
      </c>
      <c r="B46" s="309" t="s">
        <v>1181</v>
      </c>
      <c r="C46" s="310"/>
      <c r="D46" s="310">
        <f>IF(C44=0,0,D45/C44)</f>
        <v>0.11046280611149285</v>
      </c>
      <c r="E46" s="74"/>
      <c r="F46" s="74"/>
      <c r="G46" s="307" t="s">
        <v>874</v>
      </c>
      <c r="H46" s="309" t="s">
        <v>1181</v>
      </c>
      <c r="I46" s="310"/>
      <c r="J46" s="310">
        <f>IF(I44=0,0,J45/I44)</f>
        <v>1.6185400257772093E-3</v>
      </c>
      <c r="K46" s="310"/>
      <c r="L46" s="310">
        <f>IF(K44=0,0,L45/K44)</f>
        <v>0.12152988342021019</v>
      </c>
      <c r="M46" s="310"/>
      <c r="N46" s="310">
        <f>IF(M44=0,0,N45/M44)</f>
        <v>1.9941964834577029E-2</v>
      </c>
      <c r="O46" s="310"/>
      <c r="P46" s="310">
        <f>IF(O44=0,0,P45/O44)</f>
        <v>0.57275240539393568</v>
      </c>
      <c r="Q46" s="310"/>
      <c r="R46" s="310">
        <f>IF(Q44=0,0,R45/Q44)</f>
        <v>1.0254094987269083E-2</v>
      </c>
      <c r="S46" s="310"/>
      <c r="T46" s="310">
        <f>IF(S44=0,0,T45/S44)</f>
        <v>0</v>
      </c>
      <c r="U46" s="310"/>
      <c r="V46" s="310">
        <f>IF(U44=0,0,V45/U44)</f>
        <v>0</v>
      </c>
      <c r="W46" s="310"/>
      <c r="X46" s="310">
        <f>IF(W44=0,0,X45/W44)</f>
        <v>0</v>
      </c>
      <c r="Y46" s="310"/>
      <c r="Z46" s="310">
        <f>IF(Y44=0,0,Z45/Y44)</f>
        <v>1</v>
      </c>
      <c r="AA46" s="310"/>
      <c r="AB46" s="310">
        <f>IF(AA44=0,0,AB45/AA44)</f>
        <v>0</v>
      </c>
      <c r="AC46" s="310"/>
      <c r="AD46" s="310">
        <f>IF(AC44=0,0,AD45/AC44)</f>
        <v>4.1290667209384943E-2</v>
      </c>
      <c r="AE46" s="310"/>
      <c r="AF46" s="310">
        <f>IF(AE44=0,0,AF45/AE44)</f>
        <v>7.2947856099841446E-2</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25">
      <c r="A47" s="332" t="s">
        <v>1201</v>
      </c>
      <c r="B47" s="322" t="s">
        <v>842</v>
      </c>
      <c r="C47" s="323">
        <f>'Расчет базового уровня'!D47</f>
        <v>20875.789881044646</v>
      </c>
      <c r="D47" s="333">
        <f>IF(IF(C136=0,0,B136/C136*D136)*0.024*$D$147&gt;C47,C47,IF(C136=0,0,B136/C136*D136)*0.024*$D$147)</f>
        <v>18256.194327272726</v>
      </c>
      <c r="E47" s="74"/>
      <c r="F47" s="74"/>
      <c r="G47" s="334" t="s">
        <v>1201</v>
      </c>
      <c r="H47" s="326" t="s">
        <v>842</v>
      </c>
      <c r="I47" s="323">
        <f>'Расчет базового уровня'!J47</f>
        <v>3380.2550781413079</v>
      </c>
      <c r="J47" s="335">
        <f>IF($C136=0,0,MIN($B136/$C136*$D136*0.024*$G$147,I47))</f>
        <v>3374.7839999999992</v>
      </c>
      <c r="K47" s="323">
        <f>'Расчет базового уровня'!M47</f>
        <v>3259.590778178745</v>
      </c>
      <c r="L47" s="335">
        <f>IF($C136=0,0,MIN($B136/$C136*$D136*0.024*$H$147,K47))</f>
        <v>2863.4530909090904</v>
      </c>
      <c r="M47" s="323">
        <f>'Расчет базового уровня'!P47</f>
        <v>2513.2736511342241</v>
      </c>
      <c r="N47" s="335">
        <f>IF($C136=0,0,MIN($B136/$C136*$D136*0.024*$I$147,M47))</f>
        <v>2463.1540363636364</v>
      </c>
      <c r="O47" s="323">
        <f>'Расчет базового уровня'!S47</f>
        <v>2186.2324264593703</v>
      </c>
      <c r="P47" s="335">
        <f>IF($C136=0,0,MIN($B136/$C136*$D136*0.024*$J$147,O47))</f>
        <v>934.06254545454544</v>
      </c>
      <c r="Q47" s="323">
        <f>'Расчет базового уровня'!V47</f>
        <v>540.9123851590291</v>
      </c>
      <c r="R47" s="335">
        <f>IF($C136=0,0,MIN($B136/$C136*$D136*0.024*$K$147,Q47))</f>
        <v>535.3658181818181</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8.2327707889262705</v>
      </c>
      <c r="Z47" s="335">
        <f>IF($C136=0,0,MIN($B136/$C136*$D136*0.024*$O$147,Y47))</f>
        <v>0</v>
      </c>
      <c r="AA47" s="323">
        <f>'Расчет базового уровня'!AK47</f>
        <v>1607.19492062065</v>
      </c>
      <c r="AB47" s="335">
        <f>IF($C136=0,0,MIN($B136/$C136*$D136*0.024*$P$147,AA47))</f>
        <v>1607.19492062065</v>
      </c>
      <c r="AC47" s="323">
        <f>'Расчет базового уровня'!AN47</f>
        <v>3232.5641866076471</v>
      </c>
      <c r="AD47" s="335">
        <f>IF($C136=0,0,MIN($B136/$C136*$D136*0.024*$Q$147,AC47))</f>
        <v>3099.0894545454548</v>
      </c>
      <c r="AE47" s="323">
        <f>'Расчет базового уровня'!AQ47</f>
        <v>3222.1989802646763</v>
      </c>
      <c r="AF47" s="335">
        <f>IF($C136=0,0,MIN($B136/$C136*$D136*0.024*$R$147,AE47))</f>
        <v>2987.1464727272728</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25">
      <c r="A48" s="307" t="s">
        <v>1339</v>
      </c>
      <c r="B48" s="304" t="s">
        <v>842</v>
      </c>
      <c r="C48" s="308"/>
      <c r="D48" s="308">
        <f>C47-D47</f>
        <v>2619.5955537719201</v>
      </c>
      <c r="E48" s="74"/>
      <c r="F48" s="74"/>
      <c r="G48" s="307" t="s">
        <v>1339</v>
      </c>
      <c r="H48" s="304" t="s">
        <v>842</v>
      </c>
      <c r="I48" s="308"/>
      <c r="J48" s="308">
        <f>I47-J47</f>
        <v>5.4710781413086806</v>
      </c>
      <c r="K48" s="308"/>
      <c r="L48" s="308">
        <f>K47-L47</f>
        <v>396.13768726965463</v>
      </c>
      <c r="M48" s="308"/>
      <c r="N48" s="308">
        <f>M47-N47</f>
        <v>50.119614770587759</v>
      </c>
      <c r="O48" s="308"/>
      <c r="P48" s="308">
        <f>O47-P47</f>
        <v>1252.1698810048249</v>
      </c>
      <c r="Q48" s="308"/>
      <c r="R48" s="308">
        <f>Q47-R47</f>
        <v>5.5465669772110004</v>
      </c>
      <c r="S48" s="308"/>
      <c r="T48" s="308">
        <f>S47-T47</f>
        <v>0</v>
      </c>
      <c r="U48" s="308"/>
      <c r="V48" s="308">
        <f>U47-V47</f>
        <v>0</v>
      </c>
      <c r="W48" s="308"/>
      <c r="X48" s="308">
        <f>W47-X47</f>
        <v>0</v>
      </c>
      <c r="Y48" s="308"/>
      <c r="Z48" s="308">
        <f>Y47-Z47</f>
        <v>8.2327707889262705</v>
      </c>
      <c r="AA48" s="308"/>
      <c r="AB48" s="308">
        <f>AA47-AB47</f>
        <v>0</v>
      </c>
      <c r="AC48" s="308"/>
      <c r="AD48" s="308">
        <f>AC47-AD47</f>
        <v>133.47473206219229</v>
      </c>
      <c r="AE48" s="308"/>
      <c r="AF48" s="308">
        <f>AE47-AF47</f>
        <v>235.05250753740347</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
      <c r="A49" s="307" t="s">
        <v>874</v>
      </c>
      <c r="B49" s="309" t="s">
        <v>1181</v>
      </c>
      <c r="C49" s="310"/>
      <c r="D49" s="310">
        <f>IF(C47=0,0,D48/C47)</f>
        <v>0.12548485919330554</v>
      </c>
      <c r="E49" s="74"/>
      <c r="F49" s="74"/>
      <c r="G49" s="307" t="s">
        <v>874</v>
      </c>
      <c r="H49" s="309" t="s">
        <v>1181</v>
      </c>
      <c r="I49" s="310"/>
      <c r="J49" s="310">
        <f>IF(I47=0,0,J48/I47)</f>
        <v>1.6185400257772997E-3</v>
      </c>
      <c r="K49" s="310"/>
      <c r="L49" s="310">
        <f>IF(K47=0,0,L48/K47)</f>
        <v>0.12152988342021005</v>
      </c>
      <c r="M49" s="310"/>
      <c r="N49" s="310">
        <f>IF(M47=0,0,N48/M47)</f>
        <v>1.9941964834577046E-2</v>
      </c>
      <c r="O49" s="310"/>
      <c r="P49" s="310">
        <f>IF(O47=0,0,P48/O47)</f>
        <v>0.57275240539393568</v>
      </c>
      <c r="Q49" s="310"/>
      <c r="R49" s="310">
        <f>IF(Q47=0,0,R48/Q47)</f>
        <v>1.025409498726915E-2</v>
      </c>
      <c r="S49" s="310"/>
      <c r="T49" s="310">
        <f>IF(S47=0,0,T48/S47)</f>
        <v>0</v>
      </c>
      <c r="U49" s="310"/>
      <c r="V49" s="310">
        <f>IF(U47=0,0,V48/U47)</f>
        <v>0</v>
      </c>
      <c r="W49" s="310"/>
      <c r="X49" s="310">
        <f>IF(W47=0,0,X48/W47)</f>
        <v>0</v>
      </c>
      <c r="Y49" s="310"/>
      <c r="Z49" s="310">
        <f>IF(Y47=0,0,Z48/Y47)</f>
        <v>1</v>
      </c>
      <c r="AA49" s="310"/>
      <c r="AB49" s="310">
        <f>IF(AA47=0,0,AB48/AA47)</f>
        <v>0</v>
      </c>
      <c r="AC49" s="310"/>
      <c r="AD49" s="310">
        <f>IF(AC47=0,0,AD48/AC47)</f>
        <v>4.1290667209384881E-2</v>
      </c>
      <c r="AE49" s="310"/>
      <c r="AF49" s="310">
        <f>IF(AE47=0,0,AF48/AE47)</f>
        <v>7.2947856099841446E-2</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25">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25">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25">
      <c r="A53" s="332" t="s">
        <v>1203</v>
      </c>
      <c r="B53" s="322" t="s">
        <v>842</v>
      </c>
      <c r="C53" s="323">
        <f>'Расчет базового уровня'!D53</f>
        <v>188654.57593538592</v>
      </c>
      <c r="D53" s="333">
        <f>IF((IF(C138=0,0,B138/C138*D138)+IF(C139=0,0,B139/C139*D139)+IF(C140=0,0,B140/C140*D140))*0.024*$D$147&gt;C53,C53,(IF(C138=0,0,B138/C138*D138)+IF(C139=0,0,B139/C139*D139)+IF(C140=0,0,B140/C140*D140))*0.024*$D$147)</f>
        <v>167815.26209178945</v>
      </c>
      <c r="E53" s="74"/>
      <c r="F53" s="74"/>
      <c r="G53" s="334" t="s">
        <v>1203</v>
      </c>
      <c r="H53" s="326" t="s">
        <v>842</v>
      </c>
      <c r="I53" s="323">
        <f>'Расчет базового уровня'!J53</f>
        <v>31072.105265003938</v>
      </c>
      <c r="J53" s="335">
        <f>IF((IF(C138=0,0,B138/C138*D138)+IF(C139=0,0,B139/C139*D139)+IF(C140=0,0,B140/C140*D140))*0.024*G$147&gt;I53,I53,(IF(C138=0,0,B138/C138*D138)+IF(C139=0,0,B139/C139*D139)+IF(C140=0,0,B140/C140*D140))*0.024*G$147)</f>
        <v>31021.813818947365</v>
      </c>
      <c r="K53" s="323">
        <f>'Расчет базового уровня'!M53</f>
        <v>29962.93044136123</v>
      </c>
      <c r="L53" s="335">
        <f>IF((IF($C$138=0,0,$B$138/$C$138*$D$138)+IF($C$139=0,0,$B$139/$C$139*$D$139)+IF($C$140=0,0,$B$140/$C$140*$D$140))*0.024*$H$147&gt;K53,K53,(IF($C$138=0,0,$B$138/$C$138*$D$138)+IF($C$139=0,0,$B$139/$C$139*$D$139)+IF($C$140=0,0,$B$140/$C$140*$D$140))*0.024*$H$147)</f>
        <v>26321.538997894731</v>
      </c>
      <c r="M53" s="323">
        <f>'Расчет базового уровня'!P53</f>
        <v>23102.606650248425</v>
      </c>
      <c r="N53" s="335">
        <f>IF((IF($C$138=0,0,$B$138/$C$138*$D$138)+IF($C$139=0,0,$B$139/$C$139*$D$139)+IF($C$140=0,0,$B$140/$C$140*$D$140))*0.024*$I$147&gt;M53,M53,(IF($C$138=0,0,$B$138/$C$138*$D$138)+IF($C$139=0,0,$B$139/$C$139*$D$139)+IF($C$140=0,0,$B$140/$C$140*$D$140))*0.024*$I$147)</f>
        <v>22641.895280842105</v>
      </c>
      <c r="O53" s="323">
        <f>'Расчет базового уровня'!S53</f>
        <v>20096.36625590501</v>
      </c>
      <c r="P53" s="335">
        <f>IF((IF($C$138=0,0,$B$138/$C$138*$D$138)+IF($C$139=0,0,$B$139/$C$139*$D$139)+IF($C$140=0,0,$B$140/$C$140*$D$140))*0.024*$J$147&gt;O53,O53,(IF($C$138=0,0,$B$138/$C$138*$D$138)+IF($C$139=0,0,$B$139/$C$139*$D$139)+IF($C$140=0,0,$B$140/$C$140*$D$140))*0.024*$J$147)</f>
        <v>8586.1241431578947</v>
      </c>
      <c r="Q53" s="323">
        <f>'Расчет базового уровня'!V53</f>
        <v>4972.1947552098591</v>
      </c>
      <c r="R53" s="335">
        <f>IF((IF($C$138=0,0,$B$138/$C$138*$D$138)+IF($C$139=0,0,$B$139/$C$139*$D$139)+IF($C$140=0,0,$B$140/$C$140*$D$140))*0.024*$K$147&gt;Q53,Q53,(IF($C$138=0,0,$B$138/$C$138*$D$138)+IF($C$139=0,0,$B$139/$C$139*$D$139)+IF($C$140=0,0,$B$140/$C$140*$D$140))*0.024*$K$147)</f>
        <v>4921.209397894736</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75.677578958576078</v>
      </c>
      <c r="Z53" s="335">
        <f>IF((IF($C$138=0,0,$B$138/$C$138*$D$138)+IF($C$139=0,0,$B$139/$C$139*$D$139)+IF($C$140=0,0,$B$140/$C$140*$D$140))*0.024*$O$147&gt;Y53,Y53,(IF($C$138=0,0,$B$138/$C$138*$D$138)+IF($C$139=0,0,$B$139/$C$139*$D$139)+IF($C$140=0,0,$B$140/$C$140*$D$140))*0.024*$O$147)</f>
        <v>0</v>
      </c>
      <c r="AA53" s="323">
        <f>'Расчет базового уровня'!AK53</f>
        <v>14773.716361773584</v>
      </c>
      <c r="AB53" s="335">
        <f>IF((IF($C$138=0,0,$B$138/$C$138*$D$138)+IF($C$139=0,0,$B$139/$C$139*$D$139)+IF($C$140=0,0,$B$140/$C$140*$D$140))*0.024*$P$147&gt;AA53,AA53,(IF($C$138=0,0,$B$138/$C$138*$D$138)+IF($C$139=0,0,$B$139/$C$139*$D$139)+IF($C$140=0,0,$B$140/$C$140*$D$140))*0.024*$P$147)</f>
        <v>14773.716361773584</v>
      </c>
      <c r="AC53" s="323">
        <f>'Расчет базового уровня'!AN53</f>
        <v>29714.495610604845</v>
      </c>
      <c r="AD53" s="335">
        <f>IF((IF($C$138=0,0,$B$138/$C$138*$D$138)+IF($C$139=0,0,$B$139/$C$139*$D$139)+IF($C$140=0,0,$B$140/$C$140*$D$140))*0.024*$Q$147&gt;AC53,AC53,(IF($C$138=0,0,$B$138/$C$138*$D$138)+IF($C$139=0,0,$B$139/$C$139*$D$139)+IF($C$140=0,0,$B$140/$C$140*$D$140))*0.024*$Q$147)</f>
        <v>28487.564261052634</v>
      </c>
      <c r="AE53" s="323">
        <f>'Расчет базового уровня'!AQ53</f>
        <v>29619.21617898297</v>
      </c>
      <c r="AF53" s="335">
        <f>IF((IF($C$138=0,0,$B$138/$C$138*$D$138)+IF($C$139=0,0,$B$139/$C$139*$D$139)+IF($C$140=0,0,$B$140/$C$140*$D$140))*0.024*$R$147&gt;AE53,AE53,(IF($C$138=0,0,$B$138/$C$138*$D$138)+IF($C$139=0,0,$B$139/$C$139*$D$139)+IF($C$140=0,0,$B$140/$C$140*$D$140))*0.024*$R$147)</f>
        <v>27458.557859368422</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25">
      <c r="A54" s="307" t="s">
        <v>1339</v>
      </c>
      <c r="B54" s="304" t="s">
        <v>842</v>
      </c>
      <c r="C54" s="308"/>
      <c r="D54" s="308">
        <f>C53-D53</f>
        <v>20839.313843596465</v>
      </c>
      <c r="E54" s="74"/>
      <c r="F54" s="74"/>
      <c r="G54" s="307" t="s">
        <v>1339</v>
      </c>
      <c r="H54" s="304" t="s">
        <v>842</v>
      </c>
      <c r="I54" s="308"/>
      <c r="J54" s="308">
        <f>I53-J53</f>
        <v>50.291446056573477</v>
      </c>
      <c r="K54" s="308"/>
      <c r="L54" s="308">
        <f>K53-L53</f>
        <v>3641.3914434664985</v>
      </c>
      <c r="M54" s="308"/>
      <c r="N54" s="308">
        <f>M53-N53</f>
        <v>460.71136940631914</v>
      </c>
      <c r="O54" s="308"/>
      <c r="P54" s="308">
        <f>O53-P53</f>
        <v>11510.242112747115</v>
      </c>
      <c r="Q54" s="308"/>
      <c r="R54" s="308">
        <f>Q53-R53</f>
        <v>50.98535731512311</v>
      </c>
      <c r="S54" s="308"/>
      <c r="T54" s="308">
        <f>S53-T53</f>
        <v>0</v>
      </c>
      <c r="U54" s="308"/>
      <c r="V54" s="308">
        <f>U53-V53</f>
        <v>0</v>
      </c>
      <c r="W54" s="308"/>
      <c r="X54" s="308">
        <f>W53-X53</f>
        <v>0</v>
      </c>
      <c r="Y54" s="308"/>
      <c r="Z54" s="308">
        <f>Y53-Z53</f>
        <v>75.677578958576078</v>
      </c>
      <c r="AA54" s="308"/>
      <c r="AB54" s="308">
        <f>AA53-AB53</f>
        <v>0</v>
      </c>
      <c r="AC54" s="308"/>
      <c r="AD54" s="308">
        <f>AC53-AD53</f>
        <v>1226.931349552211</v>
      </c>
      <c r="AE54" s="308"/>
      <c r="AF54" s="308">
        <f>AE53-AF53</f>
        <v>2160.6583196145475</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x14ac:dyDescent="0.3">
      <c r="A55" s="307" t="s">
        <v>874</v>
      </c>
      <c r="B55" s="309" t="s">
        <v>1181</v>
      </c>
      <c r="C55" s="310"/>
      <c r="D55" s="310">
        <f>IF(C53=0,0,D54/C53)</f>
        <v>0.11046280611149298</v>
      </c>
      <c r="E55" s="74"/>
      <c r="F55" s="74"/>
      <c r="G55" s="307" t="s">
        <v>874</v>
      </c>
      <c r="H55" s="309" t="s">
        <v>1181</v>
      </c>
      <c r="I55" s="310"/>
      <c r="J55" s="310">
        <f>IF(I53=0,0,J54/I53)</f>
        <v>1.6185400257772687E-3</v>
      </c>
      <c r="K55" s="310"/>
      <c r="L55" s="310">
        <f>IF(K53=0,0,L54/K53)</f>
        <v>0.12152988342021023</v>
      </c>
      <c r="M55" s="310"/>
      <c r="N55" s="310">
        <f>IF(M53=0,0,N54/M53)</f>
        <v>1.9941964834577015E-2</v>
      </c>
      <c r="O55" s="310"/>
      <c r="P55" s="310">
        <f>IF(O53=0,0,P54/O53)</f>
        <v>0.57275240539393568</v>
      </c>
      <c r="Q55" s="310"/>
      <c r="R55" s="310">
        <f>IF(Q53=0,0,R54/Q53)</f>
        <v>1.0254094987269096E-2</v>
      </c>
      <c r="S55" s="310"/>
      <c r="T55" s="310">
        <f>IF(S53=0,0,T54/S53)</f>
        <v>0</v>
      </c>
      <c r="U55" s="310"/>
      <c r="V55" s="310">
        <f>IF(U53=0,0,V54/U53)</f>
        <v>0</v>
      </c>
      <c r="W55" s="310"/>
      <c r="X55" s="310">
        <f>IF(W53=0,0,X54/W53)</f>
        <v>0</v>
      </c>
      <c r="Y55" s="310"/>
      <c r="Z55" s="310">
        <f>IF(Y53=0,0,Z54/Y53)</f>
        <v>1</v>
      </c>
      <c r="AA55" s="310"/>
      <c r="AB55" s="310">
        <f>IF(AA53=0,0,AB54/AA53)</f>
        <v>0</v>
      </c>
      <c r="AC55" s="310"/>
      <c r="AD55" s="310">
        <f>IF(AC53=0,0,AD54/AC53)</f>
        <v>4.1290667209384832E-2</v>
      </c>
      <c r="AE55" s="310"/>
      <c r="AF55" s="310">
        <f>IF(AE53=0,0,AF54/AE53)</f>
        <v>7.2947856099841515E-2</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25">
      <c r="A56" s="332" t="s">
        <v>1204</v>
      </c>
      <c r="B56" s="322" t="s">
        <v>842</v>
      </c>
      <c r="C56" s="323">
        <f>'Расчет базового уровня'!D56</f>
        <v>110324.31341250637</v>
      </c>
      <c r="D56" s="333">
        <f>IF((IF(C142=0,0,B142/C142*D142)+IF(C141=0,0,B141/C141*D141))*0.024*$D$147&gt;C56,C56,(IF(C142=0,0,B142/C142*D142)+IF(C141=0,0,B141/C141*D141))*0.024*$D$147)</f>
        <v>98137.580170637098</v>
      </c>
      <c r="E56" s="74"/>
      <c r="F56" s="74"/>
      <c r="G56" s="334" t="s">
        <v>1204</v>
      </c>
      <c r="H56" s="326" t="s">
        <v>842</v>
      </c>
      <c r="I56" s="323">
        <f>'Расчет базового уровня'!J56</f>
        <v>18170.821792399962</v>
      </c>
      <c r="J56" s="335">
        <f>IF((IF($C$142=0,0,$B$142/$C$142*$D$142)+IF($C$141=0,0,$B$141/$C$141*$D$141))*0.024*$G$147&gt;I56,I56,(IF($C$142=0,0,$B$142/$C$142*$D$142)+IF($C$141=0,0,$B$141/$C$141*$D$141))*0.024*$G$147)</f>
        <v>18141.411590027696</v>
      </c>
      <c r="K56" s="323">
        <f>'Расчет базового уровня'!M56</f>
        <v>17522.181544655687</v>
      </c>
      <c r="L56" s="335">
        <f>IF((IF($C$142=0,0,$B$142/$C$142*$D$142)+IF($C$141=0,0,$B$141/$C$141*$D$141))*0.024*$H$147&gt;K56,K56,(IF($C$142=0,0,$B$142/$C$142*$D$142)+IF($C$141=0,0,$B$141/$C$141*$D$141))*0.024*$H$147)</f>
        <v>15392.712864265923</v>
      </c>
      <c r="M56" s="323">
        <f>'Расчет базового уровня'!P56</f>
        <v>13510.296286694982</v>
      </c>
      <c r="N56" s="335">
        <f>IF((IF($C$142=0,0,$B$142/$C$142*$D$142)+IF($C$141=0,0,$B$141/$C$141*$D$141))*0.024*$I$147&gt;M56,M56,(IF($C$142=0,0,$B$142/$C$142*$D$142)+IF($C$141=0,0,$B$141/$C$141*$D$141))*0.024*$I$147)</f>
        <v>13240.874433240995</v>
      </c>
      <c r="O56" s="323">
        <f>'Расчет базового уровня'!S56</f>
        <v>11752.260968365503</v>
      </c>
      <c r="P56" s="335">
        <f>IF((IF($C$142=0,0,$B$142/$C$142*$D$142)+IF($C$141=0,0,$B$141/$C$141*$D$141))*0.024*$J$147&gt;O56,O56,(IF($C$142=0,0,$B$142/$C$142*$D$142)+IF($C$141=0,0,$B$141/$C$141*$D$141))*0.024*$J$147)</f>
        <v>5021.1252299168973</v>
      </c>
      <c r="Q56" s="323">
        <f>'Расчет базового уровня'!V56</f>
        <v>2907.7162311168768</v>
      </c>
      <c r="R56" s="335">
        <f>IF((IF($C$142=0,0,$B$142/$C$142*$D$142)+IF($C$141=0,0,$B$141/$C$141*$D$141))*0.024*$K$147&gt;Q56,Q56,(IF($C$142=0,0,$B$142/$C$142*$D$142)+IF($C$141=0,0,$B$141/$C$141*$D$141))*0.024*$K$147)</f>
        <v>2877.90023268698</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44.255894127822259</v>
      </c>
      <c r="Z56" s="335">
        <f>IF((IF($C$142=0,0,$B$142/$C$142*$D$142)+IF($C$141=0,0,$B$141/$C$141*$D$141))*0.024*$O$147&gt;Y56,Y56,(IF($C$142=0,0,$B$142/$C$142*$D$142)+IF($C$141=0,0,$B$141/$C$141*$D$141))*0.024*$O$147)</f>
        <v>0</v>
      </c>
      <c r="AA56" s="323">
        <f>'Расчет базового уровня'!AK56</f>
        <v>8639.6002115634965</v>
      </c>
      <c r="AB56" s="335">
        <f>IF((IF($C$142=0,0,$B$142/$C$142*$D$142)+IF($C$141=0,0,$B$141/$C$141*$D$141))*0.024*$P$147&gt;AA56,AA56,(IF($C$142=0,0,$B$142/$C$142*$D$142)+IF($C$141=0,0,$B$141/$C$141*$D$141))*0.024*$P$147)</f>
        <v>8639.6002115634965</v>
      </c>
      <c r="AC56" s="323">
        <f>'Расчет базового уровня'!AN56</f>
        <v>17376.898017897569</v>
      </c>
      <c r="AD56" s="335">
        <f>IF((IF($C$142=0,0,$B$142/$C$142*$D$142)+IF($C$141=0,0,$B$141/$C$141*$D$141))*0.024*$Q$147&gt;AC56,AC56,(IF($C$142=0,0,$B$142/$C$142*$D$142)+IF($C$141=0,0,$B$141/$C$141*$D$141))*0.024*$Q$147)</f>
        <v>16659.394304709142</v>
      </c>
      <c r="AE56" s="323">
        <f>'Расчет базового уровня'!AQ56</f>
        <v>17321.179052036819</v>
      </c>
      <c r="AF56" s="335">
        <f>IF((IF($C$142=0,0,$B$142/$C$142*$D$142)+IF($C$141=0,0,$B$141/$C$141*$D$141))*0.024*$R$147&gt;AE56,AE56,(IF($C$142=0,0,$B$142/$C$142*$D$142)+IF($C$141=0,0,$B$141/$C$141*$D$141))*0.024*$R$147)</f>
        <v>16057.63617506925</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25">
      <c r="A57" s="307" t="s">
        <v>1339</v>
      </c>
      <c r="B57" s="304" t="s">
        <v>842</v>
      </c>
      <c r="C57" s="308"/>
      <c r="D57" s="308">
        <f>C56-D56</f>
        <v>12186.733241869268</v>
      </c>
      <c r="E57" s="74"/>
      <c r="F57" s="74"/>
      <c r="G57" s="307" t="s">
        <v>1339</v>
      </c>
      <c r="H57" s="304" t="s">
        <v>842</v>
      </c>
      <c r="I57" s="308"/>
      <c r="J57" s="308">
        <f>I56-J56</f>
        <v>29.410202372266212</v>
      </c>
      <c r="K57" s="308"/>
      <c r="L57" s="308">
        <f>K56-L56</f>
        <v>2129.4686803897639</v>
      </c>
      <c r="M57" s="308"/>
      <c r="N57" s="308">
        <f>M56-N56</f>
        <v>269.42185345398684</v>
      </c>
      <c r="O57" s="308"/>
      <c r="P57" s="308">
        <f>O56-P56</f>
        <v>6731.1357384486055</v>
      </c>
      <c r="Q57" s="308"/>
      <c r="R57" s="308">
        <f>Q56-R56</f>
        <v>29.815998429896808</v>
      </c>
      <c r="S57" s="308"/>
      <c r="T57" s="308">
        <f>S56-T56</f>
        <v>0</v>
      </c>
      <c r="U57" s="308"/>
      <c r="V57" s="308">
        <f>U56-V56</f>
        <v>0</v>
      </c>
      <c r="W57" s="308"/>
      <c r="X57" s="308">
        <f>W56-X56</f>
        <v>0</v>
      </c>
      <c r="Y57" s="308"/>
      <c r="Z57" s="308">
        <f>Y56-Z56</f>
        <v>44.255894127822259</v>
      </c>
      <c r="AA57" s="308"/>
      <c r="AB57" s="308">
        <f>AA56-AB56</f>
        <v>0</v>
      </c>
      <c r="AC57" s="308"/>
      <c r="AD57" s="308">
        <f>AC56-AD56</f>
        <v>717.50371318842735</v>
      </c>
      <c r="AE57" s="308"/>
      <c r="AF57" s="308">
        <f>AE56-AF56</f>
        <v>1263.5428769675691</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x14ac:dyDescent="0.3">
      <c r="A58" s="307" t="s">
        <v>874</v>
      </c>
      <c r="B58" s="309" t="s">
        <v>1181</v>
      </c>
      <c r="C58" s="310"/>
      <c r="D58" s="310">
        <f>IF(C56=0,0,D57/C56)</f>
        <v>0.11046280611149291</v>
      </c>
      <c r="E58" s="74"/>
      <c r="F58" s="74"/>
      <c r="G58" s="307" t="s">
        <v>874</v>
      </c>
      <c r="H58" s="309" t="s">
        <v>1181</v>
      </c>
      <c r="I58" s="310"/>
      <c r="J58" s="310">
        <f>IF(I56=0,0,J57/I56)</f>
        <v>1.6185400257773251E-3</v>
      </c>
      <c r="K58" s="310"/>
      <c r="L58" s="310">
        <f>IF(K56=0,0,L57/K56)</f>
        <v>0.12152988342021018</v>
      </c>
      <c r="M58" s="310"/>
      <c r="N58" s="310">
        <f>IF(M56=0,0,N57/M56)</f>
        <v>1.9941964834576949E-2</v>
      </c>
      <c r="O58" s="310"/>
      <c r="P58" s="310">
        <f>IF(O56=0,0,P57/O56)</f>
        <v>0.57275240539393568</v>
      </c>
      <c r="Q58" s="310"/>
      <c r="R58" s="310">
        <f>IF(Q56=0,0,R57/Q56)</f>
        <v>1.0254094987269183E-2</v>
      </c>
      <c r="S58" s="310"/>
      <c r="T58" s="310">
        <f>IF(S56=0,0,T57/S56)</f>
        <v>0</v>
      </c>
      <c r="U58" s="310"/>
      <c r="V58" s="310">
        <f>IF(U56=0,0,V57/U56)</f>
        <v>0</v>
      </c>
      <c r="W58" s="310"/>
      <c r="X58" s="310">
        <f>IF(W56=0,0,X57/W56)</f>
        <v>0</v>
      </c>
      <c r="Y58" s="310"/>
      <c r="Z58" s="310">
        <f>IF(Y56=0,0,Z57/Y56)</f>
        <v>1</v>
      </c>
      <c r="AA58" s="310"/>
      <c r="AB58" s="310">
        <f>IF(AA56=0,0,AB57/AA56)</f>
        <v>0</v>
      </c>
      <c r="AC58" s="310"/>
      <c r="AD58" s="310">
        <f>IF(AC56=0,0,AD57/AC56)</f>
        <v>4.1290667209384825E-2</v>
      </c>
      <c r="AE58" s="310"/>
      <c r="AF58" s="310">
        <f>IF(AE56=0,0,AF57/AE56)</f>
        <v>7.2947856099841391E-2</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25">
      <c r="A59" s="332" t="s">
        <v>1205</v>
      </c>
      <c r="B59" s="322" t="s">
        <v>842</v>
      </c>
      <c r="C59" s="323">
        <f>'Расчет базового уровня'!D59</f>
        <v>3762.5958565814649</v>
      </c>
      <c r="D59" s="342">
        <f>IF(IF(C143=0,0,B143/C143*D143)*0.024*$D$147&gt;C59,C59,IF(C143=0,0,B143/C143*D143)*0.024*$D$147)</f>
        <v>3346.9689600000006</v>
      </c>
      <c r="E59" s="74"/>
      <c r="F59" s="74"/>
      <c r="G59" s="334" t="s">
        <v>1205</v>
      </c>
      <c r="H59" s="326" t="s">
        <v>842</v>
      </c>
      <c r="I59" s="323">
        <f>'Расчет базового уровня'!J59</f>
        <v>619.71343099257331</v>
      </c>
      <c r="J59" s="343">
        <f>IF($C143=0,0,MIN($B143/$C143*$D143*0.024*$G$147,I59))</f>
        <v>618.71040000000005</v>
      </c>
      <c r="K59" s="323">
        <f>'Расчет базового уровня'!M59</f>
        <v>597.59164266610344</v>
      </c>
      <c r="L59" s="343">
        <f>IF($C143=0,0,MIN($B143/$C143*$D143*0.024*$H$147,K59))</f>
        <v>524.96640000000002</v>
      </c>
      <c r="M59" s="323">
        <f>'Расчет базового уровня'!P59</f>
        <v>460.76683604127442</v>
      </c>
      <c r="N59" s="343">
        <f>IF($C143=0,0,MIN($B143/$C143*$D143*0.024*$I$147,M59))</f>
        <v>451.57824000000005</v>
      </c>
      <c r="O59" s="323">
        <f>'Расчет базового уровня'!S59</f>
        <v>400.80927818421799</v>
      </c>
      <c r="P59" s="343">
        <f>IF($C143=0,0,MIN($B143/$C143*$D143*0.024*$J$147,O59))</f>
        <v>171.24480000000003</v>
      </c>
      <c r="Q59" s="323">
        <f>'Расчет базового уровня'!V59</f>
        <v>99.167270612488679</v>
      </c>
      <c r="R59" s="343">
        <f>IF($C143=0,0,MIN($B143/$C143*$D143*0.024*$K$147,Q59))</f>
        <v>98.150400000000005</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1.50934131130315</v>
      </c>
      <c r="Z59" s="343">
        <f>IF($C143=0,0,MIN($B143/$C143*$D143*0.024*$O$147,Y59))</f>
        <v>0</v>
      </c>
      <c r="AA59" s="323">
        <f>'Расчет базового уровня'!AK59</f>
        <v>294.65240211378585</v>
      </c>
      <c r="AB59" s="343">
        <f>IF($C143=0,0,MIN($B143/$C143*$D143*0.024*$P$147,AA59))</f>
        <v>294.65240211378585</v>
      </c>
      <c r="AC59" s="323">
        <f>'Расчет базового уровня'!AN59</f>
        <v>592.63676754473533</v>
      </c>
      <c r="AD59" s="343">
        <f>IF($C143=0,0,MIN($B143/$C143*$D143*0.024*$Q$147,AC59))</f>
        <v>568.16640000000007</v>
      </c>
      <c r="AE59" s="323">
        <f>'Расчет базового уровня'!AQ59</f>
        <v>590.73647971519074</v>
      </c>
      <c r="AF59" s="343">
        <f>IF($C143=0,0,MIN($B143/$C143*$D143*0.024*$R$147,AE59))</f>
        <v>547.64352000000008</v>
      </c>
      <c r="AG59" s="74"/>
      <c r="AH59" s="74"/>
      <c r="AI59" s="74"/>
      <c r="AJ59" s="74"/>
      <c r="AK59" s="74"/>
      <c r="AL59" s="74"/>
      <c r="AM59" s="74"/>
      <c r="AN59" s="74"/>
      <c r="AO59" s="74"/>
      <c r="AP59" s="74"/>
      <c r="AQ59" s="74"/>
      <c r="AR59" s="74"/>
      <c r="AS59" s="74"/>
      <c r="AT59" s="74"/>
      <c r="AU59" s="74"/>
    </row>
    <row r="60" spans="1:55" x14ac:dyDescent="0.25">
      <c r="A60" s="307" t="s">
        <v>1339</v>
      </c>
      <c r="B60" s="304" t="s">
        <v>842</v>
      </c>
      <c r="C60" s="308"/>
      <c r="D60" s="308">
        <f>C59-D59</f>
        <v>415.62689658146428</v>
      </c>
      <c r="E60" s="74"/>
      <c r="F60" s="74"/>
      <c r="G60" s="307" t="s">
        <v>1339</v>
      </c>
      <c r="H60" s="304" t="s">
        <v>842</v>
      </c>
      <c r="I60" s="308"/>
      <c r="J60" s="308">
        <f>I59-J59</f>
        <v>1.0030309925732581</v>
      </c>
      <c r="K60" s="308"/>
      <c r="L60" s="308">
        <f>K59-L59</f>
        <v>72.625242666103418</v>
      </c>
      <c r="M60" s="308"/>
      <c r="N60" s="308">
        <f>M59-N59</f>
        <v>9.1885960412743657</v>
      </c>
      <c r="O60" s="308"/>
      <c r="P60" s="308">
        <f>O59-P59</f>
        <v>229.56447818421796</v>
      </c>
      <c r="Q60" s="308"/>
      <c r="R60" s="308">
        <f>Q59-R59</f>
        <v>1.0168706124886739</v>
      </c>
      <c r="S60" s="308"/>
      <c r="T60" s="308">
        <f>S59-T59</f>
        <v>0</v>
      </c>
      <c r="U60" s="308"/>
      <c r="V60" s="308">
        <f>U59-V59</f>
        <v>0</v>
      </c>
      <c r="W60" s="308"/>
      <c r="X60" s="308">
        <f>W59-X59</f>
        <v>0</v>
      </c>
      <c r="Y60" s="308"/>
      <c r="Z60" s="308">
        <f>Y59-Z59</f>
        <v>1.50934131130315</v>
      </c>
      <c r="AA60" s="308"/>
      <c r="AB60" s="308">
        <f>AA59-AB59</f>
        <v>0</v>
      </c>
      <c r="AC60" s="308"/>
      <c r="AD60" s="308">
        <f>AC59-AD59</f>
        <v>24.470367544735268</v>
      </c>
      <c r="AE60" s="308"/>
      <c r="AF60" s="308">
        <f>AE59-AF59</f>
        <v>43.092959715190659</v>
      </c>
      <c r="AG60" s="74"/>
      <c r="AH60" s="74"/>
      <c r="AI60" s="74"/>
      <c r="AJ60" s="74"/>
      <c r="AK60" s="74"/>
      <c r="AL60" s="74"/>
      <c r="AM60" s="74"/>
      <c r="AN60" s="74"/>
      <c r="AO60" s="74"/>
      <c r="AP60" s="74"/>
      <c r="AQ60" s="74"/>
      <c r="AR60" s="74"/>
      <c r="AS60" s="74"/>
      <c r="AT60" s="74"/>
      <c r="AU60" s="74"/>
    </row>
    <row r="61" spans="1:55" ht="15.75" thickBot="1" x14ac:dyDescent="0.3">
      <c r="A61" s="307" t="s">
        <v>874</v>
      </c>
      <c r="B61" s="309" t="s">
        <v>1181</v>
      </c>
      <c r="C61" s="310"/>
      <c r="D61" s="310">
        <f>IF(C59=0,0,D60/C59)</f>
        <v>0.11046280611149273</v>
      </c>
      <c r="E61" s="74"/>
      <c r="F61" s="74"/>
      <c r="G61" s="307" t="s">
        <v>874</v>
      </c>
      <c r="H61" s="309" t="s">
        <v>1181</v>
      </c>
      <c r="I61" s="310"/>
      <c r="J61" s="310">
        <f>IF(I59=0,0,J60/I59)</f>
        <v>1.6185400257772993E-3</v>
      </c>
      <c r="K61" s="310"/>
      <c r="L61" s="310">
        <f>IF(K59=0,0,L60/K59)</f>
        <v>0.12152988342021012</v>
      </c>
      <c r="M61" s="310"/>
      <c r="N61" s="310">
        <f>IF(M59=0,0,N60/M59)</f>
        <v>1.9941964834576924E-2</v>
      </c>
      <c r="O61" s="310"/>
      <c r="P61" s="310">
        <f>IF(O59=0,0,P60/O59)</f>
        <v>0.57275240539393568</v>
      </c>
      <c r="Q61" s="310"/>
      <c r="R61" s="310">
        <f>IF(Q59=0,0,R60/Q59)</f>
        <v>1.0254094987269055E-2</v>
      </c>
      <c r="S61" s="310"/>
      <c r="T61" s="310">
        <f>IF(S59=0,0,T60/S59)</f>
        <v>0</v>
      </c>
      <c r="U61" s="310"/>
      <c r="V61" s="310">
        <f>IF(U59=0,0,V60/U59)</f>
        <v>0</v>
      </c>
      <c r="W61" s="310"/>
      <c r="X61" s="310">
        <f>IF(W59=0,0,X60/W59)</f>
        <v>0</v>
      </c>
      <c r="Y61" s="310"/>
      <c r="Z61" s="310">
        <f>IF(Y59=0,0,Z60/Y59)</f>
        <v>1</v>
      </c>
      <c r="AA61" s="310"/>
      <c r="AB61" s="310">
        <f>IF(AA59=0,0,AB60/AA59)</f>
        <v>0</v>
      </c>
      <c r="AC61" s="310"/>
      <c r="AD61" s="310">
        <f>IF(AC59=0,0,AD60/AC59)</f>
        <v>4.1290667209384908E-2</v>
      </c>
      <c r="AE61" s="310"/>
      <c r="AF61" s="310">
        <f>IF(AE59=0,0,AF60/AE59)</f>
        <v>7.2947856099841474E-2</v>
      </c>
      <c r="AG61" s="74"/>
      <c r="AH61" s="74"/>
      <c r="AI61" s="74"/>
      <c r="AJ61" s="74"/>
      <c r="AK61" s="74"/>
      <c r="AL61" s="74"/>
      <c r="AM61" s="74"/>
      <c r="AN61" s="74"/>
      <c r="AO61" s="74"/>
      <c r="AP61" s="74"/>
      <c r="AQ61" s="74"/>
      <c r="AR61" s="74"/>
      <c r="AS61" s="74"/>
      <c r="AT61" s="74"/>
      <c r="AU61" s="74"/>
    </row>
    <row r="62" spans="1:55" ht="24.75" customHeight="1" x14ac:dyDescent="0.25">
      <c r="A62" s="329" t="s">
        <v>1198</v>
      </c>
      <c r="B62" s="322" t="s">
        <v>842</v>
      </c>
      <c r="C62" s="323">
        <f>'Расчет базового уровня'!D62</f>
        <v>978656.88454079709</v>
      </c>
      <c r="D62" s="324">
        <f>IF((D151*D152*'Ввод исходных данных'!$D$22*0.28)*D147*0.024+D190*D154+D161&gt;C62,C62,(D151*D152*'Ввод исходных данных'!$D$22*0.28)*D147*0.024+D190*D154+D161)</f>
        <v>871214.55617187603</v>
      </c>
      <c r="E62" s="74"/>
      <c r="F62" s="74"/>
      <c r="G62" s="344" t="s">
        <v>1198</v>
      </c>
      <c r="H62" s="326" t="s">
        <v>842</v>
      </c>
      <c r="I62" s="323">
        <f>'Расчет базового уровня'!J62</f>
        <v>161188.40258180382</v>
      </c>
      <c r="J62" s="328">
        <f>MIN(I62,($D$151*$D$152*'Ввод исходных данных'!$D$22*0.28)*$G$147*0.024+$G$190*$D$154+$G$161)</f>
        <v>160927.51270053402</v>
      </c>
      <c r="K62" s="323">
        <f>'Расчет базового уровня'!M62</f>
        <v>155434.49191234278</v>
      </c>
      <c r="L62" s="328">
        <f>MIN(K62,($D$151*$D$152*'Ввод исходных данных'!$D$22*0.28)*$H$147*0.024+$H$190*$D$154+$H$161)</f>
        <v>136544.55623075616</v>
      </c>
      <c r="M62" s="323">
        <f>'Расчет базового уровня'!P62</f>
        <v>119846.15235014167</v>
      </c>
      <c r="N62" s="328">
        <f>MIN(M62,($D$151*$D$152*'Ввод исходных данных'!$D$22*0.28)*$I$147*0.024+$I$190*$D$154+$I$161)</f>
        <v>117456.18459441575</v>
      </c>
      <c r="O62" s="323">
        <f>'Расчет базового уровня'!S62</f>
        <v>104251.10068536525</v>
      </c>
      <c r="P62" s="328">
        <f>MIN(O62,($D$151*$D$152*'Ввод исходных данных'!$D$22*0.28)*$J$147*0.024+$J$190*$D$154+$J$161)</f>
        <v>44541.032002856933</v>
      </c>
      <c r="Q62" s="323">
        <f>'Расчет базового уровня'!V62</f>
        <v>25793.557375095948</v>
      </c>
      <c r="R62" s="328">
        <f>MIN(Q62,($D$151*$D$152*'Ввод исходных данных'!$D$22*0.28)*$K$147*0.024+$K$190*$D$154+$K$161)</f>
        <v>25529.067787712142</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392.58196248871576</v>
      </c>
      <c r="Z62" s="328">
        <f>MIN(Y62,($D$151*$D$152*'Ввод исходных данных'!$D$22*0.28)*$O$147*0.024+$O$190*$D$154+$O$161)</f>
        <v>0</v>
      </c>
      <c r="AA62" s="323">
        <f>'Расчет базового уровня'!AK62</f>
        <v>76639.536337855548</v>
      </c>
      <c r="AB62" s="328">
        <f>MIN(AA62,($D$151*$D$152*'Ввод исходных данных'!$D$22*0.28)*$P$147*0.024+$P$190*$D$154+$P$161)</f>
        <v>76639.536337855548</v>
      </c>
      <c r="AC62" s="323">
        <f>'Расчет базового уровня'!AN62</f>
        <v>154145.72138412227</v>
      </c>
      <c r="AD62" s="328">
        <f>MIN(AC62,($D$151*$D$152*'Ввод исходных данных'!$D$22*0.28)*$Q$147*0.024+$Q$190*$D$154+$Q$161)</f>
        <v>147780.94170069991</v>
      </c>
      <c r="AE62" s="323">
        <f>'Расчет базового уровня'!AQ62</f>
        <v>153651.45363975639</v>
      </c>
      <c r="AF62" s="328">
        <f>MIN(AE62,($D$151*$D$152*'Ввод исходных данных'!$D$22*0.28)*$R$147*0.024+$R$190*$D$154+$R$161)</f>
        <v>142442.90951011196</v>
      </c>
      <c r="AG62" s="74"/>
      <c r="AH62" s="74"/>
      <c r="AI62" s="74"/>
      <c r="AJ62" s="74"/>
      <c r="AK62" s="74"/>
      <c r="AL62" s="74"/>
      <c r="AM62" s="74"/>
      <c r="AN62" s="74"/>
      <c r="AO62" s="74"/>
      <c r="AP62" s="74"/>
      <c r="AQ62" s="74"/>
      <c r="AR62" s="74"/>
      <c r="AS62" s="74"/>
      <c r="AT62" s="74"/>
      <c r="AU62" s="74"/>
    </row>
    <row r="63" spans="1:55" x14ac:dyDescent="0.25">
      <c r="A63" s="307" t="s">
        <v>1339</v>
      </c>
      <c r="B63" s="304" t="s">
        <v>842</v>
      </c>
      <c r="C63" s="308"/>
      <c r="D63" s="308">
        <f>C62-D62</f>
        <v>107442.32836892107</v>
      </c>
      <c r="E63" s="317"/>
      <c r="F63" s="74"/>
      <c r="G63" s="307" t="s">
        <v>1339</v>
      </c>
      <c r="H63" s="304" t="s">
        <v>842</v>
      </c>
      <c r="I63" s="308"/>
      <c r="J63" s="308">
        <f>I62-J62</f>
        <v>260.88988126980257</v>
      </c>
      <c r="K63" s="308"/>
      <c r="L63" s="308">
        <f>K62-L62</f>
        <v>18889.935681586619</v>
      </c>
      <c r="M63" s="308"/>
      <c r="N63" s="308">
        <f>M62-N62</f>
        <v>2389.9677557259129</v>
      </c>
      <c r="O63" s="308"/>
      <c r="P63" s="308">
        <f>O62-P62</f>
        <v>59710.068682508318</v>
      </c>
      <c r="Q63" s="308"/>
      <c r="R63" s="308">
        <f>Q62-R62</f>
        <v>264.48958738380679</v>
      </c>
      <c r="S63" s="308"/>
      <c r="T63" s="308">
        <f>S62-T62</f>
        <v>0</v>
      </c>
      <c r="U63" s="308"/>
      <c r="V63" s="308">
        <f>U62-V62</f>
        <v>0</v>
      </c>
      <c r="W63" s="308"/>
      <c r="X63" s="308">
        <f>W62-X62</f>
        <v>0</v>
      </c>
      <c r="Y63" s="308"/>
      <c r="Z63" s="308">
        <f>Y62-Z62</f>
        <v>392.58196248871576</v>
      </c>
      <c r="AA63" s="308"/>
      <c r="AB63" s="308">
        <f>AA62-AB62</f>
        <v>0</v>
      </c>
      <c r="AC63" s="308"/>
      <c r="AD63" s="308">
        <f>AC62-AD62</f>
        <v>6364.7796834223554</v>
      </c>
      <c r="AE63" s="308"/>
      <c r="AF63" s="308">
        <f>AE62-AF62</f>
        <v>11208.544129644433</v>
      </c>
      <c r="AG63" s="74"/>
      <c r="AH63" s="74"/>
      <c r="AI63" s="74"/>
      <c r="AJ63" s="74"/>
      <c r="AK63" s="74"/>
      <c r="AL63" s="74"/>
      <c r="AM63" s="74"/>
      <c r="AN63" s="74"/>
      <c r="AO63" s="74"/>
      <c r="AP63" s="74"/>
      <c r="AQ63" s="74"/>
      <c r="AR63" s="74"/>
      <c r="AS63" s="74"/>
      <c r="AT63" s="74"/>
      <c r="AU63" s="74"/>
    </row>
    <row r="64" spans="1:55" ht="15.75" thickBot="1" x14ac:dyDescent="0.3">
      <c r="A64" s="307" t="s">
        <v>874</v>
      </c>
      <c r="B64" s="309" t="s">
        <v>1181</v>
      </c>
      <c r="C64" s="310"/>
      <c r="D64" s="310">
        <f>IF(C62=0,0,D63/C62)</f>
        <v>0.10978549281787854</v>
      </c>
      <c r="E64" s="74"/>
      <c r="F64" s="74"/>
      <c r="G64" s="307" t="s">
        <v>874</v>
      </c>
      <c r="H64" s="309" t="s">
        <v>1181</v>
      </c>
      <c r="I64" s="310"/>
      <c r="J64" s="310">
        <f>IF(I62=0,0,J63/I62)</f>
        <v>1.6185400257775978E-3</v>
      </c>
      <c r="K64" s="310"/>
      <c r="L64" s="310">
        <f>IF(K62=0,0,L63/K62)</f>
        <v>0.12152988342021018</v>
      </c>
      <c r="M64" s="310"/>
      <c r="N64" s="310">
        <f>IF(M62=0,0,N63/M62)</f>
        <v>1.9941964834577251E-2</v>
      </c>
      <c r="O64" s="310"/>
      <c r="P64" s="310">
        <f>IF(O62=0,0,P63/O62)</f>
        <v>0.57275240539393557</v>
      </c>
      <c r="Q64" s="310"/>
      <c r="R64" s="310">
        <f>IF(Q62=0,0,R63/Q62)</f>
        <v>1.0254094987269003E-2</v>
      </c>
      <c r="S64" s="310"/>
      <c r="T64" s="310">
        <f>IF(S62=0,0,T63/S62)</f>
        <v>0</v>
      </c>
      <c r="U64" s="310"/>
      <c r="V64" s="310">
        <f>IF(U62=0,0,V63/U62)</f>
        <v>0</v>
      </c>
      <c r="W64" s="310"/>
      <c r="X64" s="310">
        <f>IF(W62=0,0,X63/W62)</f>
        <v>0</v>
      </c>
      <c r="Y64" s="310"/>
      <c r="Z64" s="310">
        <f>IF(Y62=0,0,Z63/Y62)</f>
        <v>1</v>
      </c>
      <c r="AA64" s="310"/>
      <c r="AB64" s="310">
        <f>IF(AA62=0,0,AB63/AA62)</f>
        <v>0</v>
      </c>
      <c r="AC64" s="310"/>
      <c r="AD64" s="310">
        <f>IF(AC62=0,0,AD63/AC62)</f>
        <v>4.1290667209384881E-2</v>
      </c>
      <c r="AE64" s="310"/>
      <c r="AF64" s="310">
        <f>IF(AE62=0,0,AF63/AE62)</f>
        <v>7.2947856099841613E-2</v>
      </c>
      <c r="AG64" s="74"/>
      <c r="AH64" s="74"/>
      <c r="AI64" s="74"/>
      <c r="AJ64" s="74"/>
      <c r="AK64" s="74"/>
      <c r="AL64" s="74"/>
      <c r="AM64" s="74"/>
      <c r="AN64" s="74"/>
      <c r="AO64" s="74"/>
      <c r="AP64" s="74"/>
      <c r="AQ64" s="74"/>
      <c r="AR64" s="74"/>
      <c r="AS64" s="74"/>
      <c r="AT64" s="74"/>
      <c r="AU64" s="74"/>
    </row>
    <row r="65" spans="1:47" ht="45.75" customHeight="1" x14ac:dyDescent="0.25">
      <c r="A65" s="329" t="s">
        <v>1206</v>
      </c>
      <c r="B65" s="322" t="s">
        <v>842</v>
      </c>
      <c r="C65" s="323">
        <f>'Расчет базового уровня'!D65</f>
        <v>278696.85620536841</v>
      </c>
      <c r="D65" s="324">
        <f>IF((D62+D38-D71*$D$156)*($D$158-1)&gt;C65,C65,(D62+D38-D71*$D$156)*($D$158-1))</f>
        <v>85628.019981678808</v>
      </c>
      <c r="E65" s="74"/>
      <c r="F65" s="74"/>
      <c r="G65" s="345" t="s">
        <v>1206</v>
      </c>
      <c r="H65" s="346" t="s">
        <v>842</v>
      </c>
      <c r="I65" s="323">
        <f>'Расчет базового уровня'!J65</f>
        <v>48130.247942066642</v>
      </c>
      <c r="J65" s="347">
        <f>MIN(I65,(J62+J38-J71*$D$156)*($D$158-1))</f>
        <v>16716.844329311531</v>
      </c>
      <c r="K65" s="323">
        <f>'Расчет базового уровня'!M65</f>
        <v>46118.069475147022</v>
      </c>
      <c r="L65" s="347">
        <f>MIN(K65,(L62+L38-L71*$D$156)*($D$158-1))</f>
        <v>14030.016001224094</v>
      </c>
      <c r="M65" s="323">
        <f>'Расчет базового уровня'!P65</f>
        <v>34200.11003653676</v>
      </c>
      <c r="N65" s="347">
        <f>MIN(M65,(N62+N38-N71*$D$156)*($D$158-1))</f>
        <v>11441.315096134938</v>
      </c>
      <c r="O65" s="323">
        <f>'Расчет базового уровня'!S65</f>
        <v>26307.672594102794</v>
      </c>
      <c r="P65" s="347">
        <f>MIN(O65,(P62+P38-P71*$D$156)*($D$158-1))</f>
        <v>2683.3198607906274</v>
      </c>
      <c r="Q65" s="323">
        <f>'Расчет базового уровня'!V65</f>
        <v>-11491.57405267278</v>
      </c>
      <c r="R65" s="347">
        <f>MIN(Q65,(R62+R38-R71*$D$156)*($D$158-1))</f>
        <v>-11491.57405267278</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133.79646017699105</v>
      </c>
      <c r="Z65" s="347">
        <f>MIN(Y65,(Z62+Z38-Z71*$D$156)*($D$158-1))</f>
        <v>0</v>
      </c>
      <c r="AA65" s="323">
        <f>'Расчет базового уровня'!AK65</f>
        <v>19446.14488462752</v>
      </c>
      <c r="AB65" s="347">
        <f>MIN(AA65,(AB62+AB38-AB71*$D$156)*($D$158-1))</f>
        <v>7214.8314258679065</v>
      </c>
      <c r="AC65" s="323">
        <f>'Расчет базового уровня'!AN65</f>
        <v>43676.148760376644</v>
      </c>
      <c r="AD65" s="347">
        <f>MIN(AC65,(AD62+AD38-AD71*$D$156)*($D$158-1))</f>
        <v>15212.156346115944</v>
      </c>
      <c r="AE65" s="323">
        <f>'Расчет базового уровня'!AQ65</f>
        <v>45353.307441898389</v>
      </c>
      <c r="AF65" s="347">
        <f>MIN(AE65,(AF62+AF38-AF71*$D$156)*($D$158-1))</f>
        <v>14473.617155375336</v>
      </c>
      <c r="AG65" s="74"/>
      <c r="AH65" s="74"/>
      <c r="AI65" s="74"/>
      <c r="AJ65" s="74"/>
      <c r="AK65" s="74"/>
      <c r="AL65" s="74"/>
      <c r="AM65" s="74"/>
      <c r="AN65" s="74"/>
      <c r="AO65" s="74"/>
      <c r="AP65" s="74"/>
      <c r="AQ65" s="74"/>
      <c r="AR65" s="74"/>
      <c r="AS65" s="74"/>
      <c r="AT65" s="74"/>
      <c r="AU65" s="74"/>
    </row>
    <row r="66" spans="1:47" x14ac:dyDescent="0.25">
      <c r="A66" s="307" t="s">
        <v>1339</v>
      </c>
      <c r="B66" s="304" t="s">
        <v>842</v>
      </c>
      <c r="C66" s="308"/>
      <c r="D66" s="308">
        <f>C65-D65</f>
        <v>193068.83622368961</v>
      </c>
      <c r="E66" s="74"/>
      <c r="F66" s="74"/>
      <c r="G66" s="307" t="s">
        <v>1339</v>
      </c>
      <c r="H66" s="304" t="s">
        <v>842</v>
      </c>
      <c r="I66" s="308"/>
      <c r="J66" s="308">
        <f>I65-J65</f>
        <v>31413.403612755112</v>
      </c>
      <c r="K66" s="308"/>
      <c r="L66" s="308">
        <f>K65-L65</f>
        <v>32088.053473922926</v>
      </c>
      <c r="M66" s="308"/>
      <c r="N66" s="308">
        <f>M65-N65</f>
        <v>22758.794940401822</v>
      </c>
      <c r="O66" s="308"/>
      <c r="P66" s="308">
        <f>O65-P65</f>
        <v>23624.352733312167</v>
      </c>
      <c r="Q66" s="308"/>
      <c r="R66" s="308">
        <f>Q65-R65</f>
        <v>0</v>
      </c>
      <c r="S66" s="308"/>
      <c r="T66" s="308">
        <f>S65-T65</f>
        <v>0</v>
      </c>
      <c r="U66" s="308"/>
      <c r="V66" s="308">
        <f>U65-V65</f>
        <v>0</v>
      </c>
      <c r="W66" s="308"/>
      <c r="X66" s="308">
        <f>W65-X65</f>
        <v>0</v>
      </c>
      <c r="Y66" s="308"/>
      <c r="Z66" s="308">
        <f>Y65-Z65</f>
        <v>133.79646017699105</v>
      </c>
      <c r="AA66" s="308"/>
      <c r="AB66" s="308">
        <f>AA65-AB65</f>
        <v>12231.313458759614</v>
      </c>
      <c r="AC66" s="308"/>
      <c r="AD66" s="308">
        <f>AC65-AD65</f>
        <v>28463.992414260698</v>
      </c>
      <c r="AE66" s="308"/>
      <c r="AF66" s="308">
        <f>AE65-AF65</f>
        <v>30879.690286523051</v>
      </c>
      <c r="AG66" s="74"/>
      <c r="AH66" s="74"/>
      <c r="AI66" s="74"/>
      <c r="AJ66" s="74"/>
      <c r="AK66" s="74"/>
      <c r="AL66" s="74"/>
      <c r="AM66" s="74"/>
      <c r="AN66" s="74"/>
      <c r="AO66" s="74"/>
      <c r="AP66" s="74"/>
      <c r="AQ66" s="74"/>
      <c r="AR66" s="74"/>
      <c r="AS66" s="74"/>
      <c r="AT66" s="74"/>
      <c r="AU66" s="74"/>
    </row>
    <row r="67" spans="1:47" ht="18" customHeight="1" thickBot="1" x14ac:dyDescent="0.3">
      <c r="A67" s="307" t="s">
        <v>874</v>
      </c>
      <c r="B67" s="309" t="s">
        <v>1181</v>
      </c>
      <c r="C67" s="310"/>
      <c r="D67" s="310">
        <f>IF(C65=0,0,D66/C65)</f>
        <v>0.69275570184910684</v>
      </c>
      <c r="E67" s="74"/>
      <c r="F67" s="74"/>
      <c r="G67" s="307" t="s">
        <v>874</v>
      </c>
      <c r="H67" s="309" t="s">
        <v>1181</v>
      </c>
      <c r="I67" s="310"/>
      <c r="J67" s="310">
        <f>IF(I65=0,0,J66/I65)</f>
        <v>0.65267487611048169</v>
      </c>
      <c r="K67" s="310"/>
      <c r="L67" s="310">
        <f>IF(K65=0,0,L66/K65)</f>
        <v>0.69578050076912135</v>
      </c>
      <c r="M67" s="310"/>
      <c r="N67" s="310">
        <f>IF(M65=0,0,N66/M65)</f>
        <v>0.66545969928424442</v>
      </c>
      <c r="O67" s="310"/>
      <c r="P67" s="310">
        <f>IF(O65=0,0,P66/O65)</f>
        <v>0.89800238500033147</v>
      </c>
      <c r="Q67" s="310"/>
      <c r="R67" s="310">
        <f>IF(Q65=0,0,R66/Q65)</f>
        <v>0</v>
      </c>
      <c r="S67" s="310"/>
      <c r="T67" s="310">
        <f>IF(S65=0,0,T66/S65)</f>
        <v>0</v>
      </c>
      <c r="U67" s="310"/>
      <c r="V67" s="310">
        <f>IF(U65=0,0,V66/U65)</f>
        <v>0</v>
      </c>
      <c r="W67" s="310"/>
      <c r="X67" s="310">
        <f>IF(W65=0,0,X66/W65)</f>
        <v>0</v>
      </c>
      <c r="Y67" s="310"/>
      <c r="Z67" s="310">
        <f>IF(Y65=0,0,Z66/Y65)</f>
        <v>1</v>
      </c>
      <c r="AA67" s="310"/>
      <c r="AB67" s="310">
        <f>IF(AA65=0,0,AB66/AA65)</f>
        <v>0.62898397246997051</v>
      </c>
      <c r="AC67" s="310"/>
      <c r="AD67" s="310">
        <f>IF(AC65=0,0,AD66/AC65)</f>
        <v>0.65170563848073215</v>
      </c>
      <c r="AE67" s="310"/>
      <c r="AF67" s="310">
        <f>IF(AE65=0,0,AF66/AE65)</f>
        <v>0.68086964387509497</v>
      </c>
      <c r="AG67" s="74"/>
      <c r="AH67" s="74"/>
      <c r="AI67" s="74"/>
      <c r="AJ67" s="74"/>
      <c r="AK67" s="74"/>
      <c r="AL67" s="74"/>
      <c r="AM67" s="74"/>
      <c r="AN67" s="74"/>
      <c r="AO67" s="74"/>
      <c r="AP67" s="74"/>
      <c r="AQ67" s="74"/>
      <c r="AR67" s="74"/>
      <c r="AS67" s="74"/>
      <c r="AT67" s="74"/>
      <c r="AU67" s="74"/>
    </row>
    <row r="68" spans="1:47" ht="45.6" customHeight="1" x14ac:dyDescent="0.25">
      <c r="A68" s="329" t="s">
        <v>1200</v>
      </c>
      <c r="B68" s="322" t="s">
        <v>842</v>
      </c>
      <c r="C68" s="323">
        <f>'Расчет базового уровня'!D68</f>
        <v>421851.50908221566</v>
      </c>
      <c r="D68" s="348">
        <f>IF(D71*(1-$D$156)&gt;C68,C68,D71*(1-$D$156))</f>
        <v>401045.00459016394</v>
      </c>
      <c r="E68" s="74"/>
      <c r="F68" s="74"/>
      <c r="G68" s="345" t="s">
        <v>1200</v>
      </c>
      <c r="H68" s="346" t="s">
        <v>842</v>
      </c>
      <c r="I68" s="323">
        <f>'Расчет базового уровня'!J68</f>
        <v>52343.2194295929</v>
      </c>
      <c r="J68" s="349">
        <f>MIN(I68,J71*(1-$D$156))</f>
        <v>52343.2194295929</v>
      </c>
      <c r="K68" s="323">
        <f>'Расчет базового уровня'!M68</f>
        <v>52736.906776678014</v>
      </c>
      <c r="L68" s="349">
        <f>MIN(K68,L71*(1-$D$156))</f>
        <v>50811.13180327868</v>
      </c>
      <c r="M68" s="323">
        <f>'Расчет базового уровня'!P68</f>
        <v>51114.159865165166</v>
      </c>
      <c r="N68" s="349">
        <f>MIN(M68,N71*(1-$D$156))</f>
        <v>51114.159865165166</v>
      </c>
      <c r="O68" s="323">
        <f>'Расчет базового уровня'!S68</f>
        <v>70940.80593243966</v>
      </c>
      <c r="P68" s="349">
        <f>MIN(O68,P71*(1-$D$156))</f>
        <v>54440.498360655729</v>
      </c>
      <c r="Q68" s="323">
        <f>'Расчет базового уровня'!V68</f>
        <v>156017.81434115607</v>
      </c>
      <c r="R68" s="349">
        <f>MIN(Q68,R71*(1-$D$156))</f>
        <v>36293.665573770486</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51334.560977466819</v>
      </c>
      <c r="AB68" s="349">
        <f>MIN(AA68,AB71*(1-$D$156))</f>
        <v>51334.560977466819</v>
      </c>
      <c r="AC68" s="323">
        <f>'Расчет базового уровня'!AN68</f>
        <v>68142.236440557142</v>
      </c>
      <c r="AD68" s="349">
        <f>MIN(AC68,AD71*(1-$D$156))</f>
        <v>54440.498360655729</v>
      </c>
      <c r="AE68" s="323">
        <f>'Расчет базового уровня'!AQ68</f>
        <v>53945.230064939584</v>
      </c>
      <c r="AF68" s="349">
        <f>MIN(AE68,AF71*(1-$D$156))</f>
        <v>53945.230064939584</v>
      </c>
      <c r="AG68" s="74"/>
      <c r="AH68" s="74"/>
      <c r="AI68" s="74"/>
      <c r="AJ68" s="74"/>
      <c r="AK68" s="74"/>
      <c r="AL68" s="74"/>
      <c r="AM68" s="74"/>
      <c r="AN68" s="74"/>
      <c r="AO68" s="74"/>
      <c r="AP68" s="74"/>
      <c r="AQ68" s="74"/>
      <c r="AR68" s="74"/>
      <c r="AS68" s="74"/>
      <c r="AT68" s="74"/>
      <c r="AU68" s="74"/>
    </row>
    <row r="69" spans="1:47" x14ac:dyDescent="0.25">
      <c r="A69" s="307" t="s">
        <v>1339</v>
      </c>
      <c r="B69" s="304" t="s">
        <v>842</v>
      </c>
      <c r="C69" s="308"/>
      <c r="D69" s="308">
        <f>C68-D68</f>
        <v>20806.504492051725</v>
      </c>
      <c r="E69" s="74"/>
      <c r="F69" s="74"/>
      <c r="G69" s="307" t="s">
        <v>1339</v>
      </c>
      <c r="H69" s="304" t="s">
        <v>842</v>
      </c>
      <c r="I69" s="308"/>
      <c r="J69" s="308">
        <f>I68-J68</f>
        <v>0</v>
      </c>
      <c r="K69" s="308"/>
      <c r="L69" s="308">
        <f>K68-L68</f>
        <v>1925.7749733993332</v>
      </c>
      <c r="M69" s="308"/>
      <c r="N69" s="308">
        <f>M68-N68</f>
        <v>0</v>
      </c>
      <c r="O69" s="308"/>
      <c r="P69" s="308">
        <f>O68-P68</f>
        <v>16500.307571783931</v>
      </c>
      <c r="Q69" s="308"/>
      <c r="R69" s="308">
        <f>Q68-R68</f>
        <v>119724.14876738559</v>
      </c>
      <c r="S69" s="308"/>
      <c r="T69" s="308">
        <f>S68-T68</f>
        <v>0</v>
      </c>
      <c r="U69" s="308"/>
      <c r="V69" s="308">
        <f>U68-V68</f>
        <v>0</v>
      </c>
      <c r="W69" s="308"/>
      <c r="X69" s="308">
        <f>W68-X68</f>
        <v>0</v>
      </c>
      <c r="Y69" s="308"/>
      <c r="Z69" s="308">
        <f>Y68-Z68</f>
        <v>0</v>
      </c>
      <c r="AA69" s="308"/>
      <c r="AB69" s="308">
        <f>AA68-AB68</f>
        <v>0</v>
      </c>
      <c r="AC69" s="308"/>
      <c r="AD69" s="308">
        <f>AC68-AD68</f>
        <v>13701.738079901414</v>
      </c>
      <c r="AE69" s="308"/>
      <c r="AF69" s="308">
        <f>AE68-AF68</f>
        <v>0</v>
      </c>
      <c r="AG69" s="74"/>
      <c r="AH69" s="74"/>
      <c r="AI69" s="74"/>
      <c r="AJ69" s="74"/>
      <c r="AK69" s="74"/>
      <c r="AL69" s="74"/>
      <c r="AM69" s="74"/>
      <c r="AN69" s="74"/>
      <c r="AO69" s="74"/>
      <c r="AP69" s="74"/>
      <c r="AQ69" s="74"/>
      <c r="AR69" s="74"/>
      <c r="AS69" s="74"/>
      <c r="AT69" s="74"/>
      <c r="AU69" s="74"/>
    </row>
    <row r="70" spans="1:47" ht="15" customHeight="1" thickBot="1" x14ac:dyDescent="0.3">
      <c r="A70" s="307" t="s">
        <v>874</v>
      </c>
      <c r="B70" s="309" t="s">
        <v>1181</v>
      </c>
      <c r="C70" s="310"/>
      <c r="D70" s="310">
        <f>IF(C68=0,0,D69/C68)</f>
        <v>4.9321868107852836E-2</v>
      </c>
      <c r="E70" s="74"/>
      <c r="F70" s="74"/>
      <c r="G70" s="307" t="s">
        <v>874</v>
      </c>
      <c r="H70" s="309" t="s">
        <v>1181</v>
      </c>
      <c r="I70" s="310"/>
      <c r="J70" s="310">
        <f>IF(I68=0,0,J69/I68)</f>
        <v>0</v>
      </c>
      <c r="K70" s="310"/>
      <c r="L70" s="310">
        <f>IF(K68=0,0,L69/K68)</f>
        <v>3.651664633184315E-2</v>
      </c>
      <c r="M70" s="310"/>
      <c r="N70" s="310">
        <f>IF(M68=0,0,N69/M68)</f>
        <v>0</v>
      </c>
      <c r="O70" s="310"/>
      <c r="P70" s="310">
        <f>IF(O68=0,0,P69/O68)</f>
        <v>0.23259261513744245</v>
      </c>
      <c r="Q70" s="310"/>
      <c r="R70" s="310">
        <f>IF(Q68=0,0,R69/Q68)</f>
        <v>0.76737486211408523</v>
      </c>
      <c r="S70" s="310"/>
      <c r="T70" s="310">
        <f>IF(S68=0,0,T69/S68)</f>
        <v>0</v>
      </c>
      <c r="U70" s="310"/>
      <c r="V70" s="310">
        <f>IF(U68=0,0,V69/U68)</f>
        <v>0</v>
      </c>
      <c r="W70" s="310"/>
      <c r="X70" s="310">
        <f>IF(W68=0,0,X69/W68)</f>
        <v>0</v>
      </c>
      <c r="Y70" s="310"/>
      <c r="Z70" s="310">
        <f>IF(Y68=0,0,Z69/Y68)</f>
        <v>0</v>
      </c>
      <c r="AA70" s="310"/>
      <c r="AB70" s="310">
        <f>IF(AA68=0,0,AB69/AA68)</f>
        <v>0</v>
      </c>
      <c r="AC70" s="310"/>
      <c r="AD70" s="310">
        <f>IF(AC68=0,0,AD69/AC68)</f>
        <v>0.20107555600782079</v>
      </c>
      <c r="AE70" s="310"/>
      <c r="AF70" s="310">
        <f>IF(AE68=0,0,AF69/AE68)</f>
        <v>0</v>
      </c>
      <c r="AG70" s="74"/>
      <c r="AH70" s="74"/>
      <c r="AI70" s="74"/>
      <c r="AJ70" s="74"/>
      <c r="AK70" s="74"/>
      <c r="AL70" s="74"/>
      <c r="AM70" s="74"/>
      <c r="AN70" s="74"/>
      <c r="AO70" s="74"/>
      <c r="AP70" s="74"/>
      <c r="AQ70" s="74"/>
      <c r="AR70" s="74"/>
      <c r="AS70" s="74"/>
      <c r="AT70" s="74"/>
      <c r="AU70" s="74"/>
    </row>
    <row r="71" spans="1:47" ht="26.1" customHeight="1" x14ac:dyDescent="0.25">
      <c r="A71" s="350" t="s">
        <v>1202</v>
      </c>
      <c r="B71" s="351" t="s">
        <v>842</v>
      </c>
      <c r="C71" s="323">
        <f>'Расчет базового уровня'!D71</f>
        <v>802090.00918032788</v>
      </c>
      <c r="D71" s="352">
        <f>C71</f>
        <v>802090.00918032788</v>
      </c>
      <c r="E71" s="74"/>
      <c r="F71" s="74"/>
      <c r="G71" s="344" t="s">
        <v>1202</v>
      </c>
      <c r="H71" s="346" t="s">
        <v>842</v>
      </c>
      <c r="I71" s="323">
        <f>'Расчет базового уровня'!J71</f>
        <v>112510.36327868853</v>
      </c>
      <c r="J71" s="353">
        <f>I71</f>
        <v>112510.36327868853</v>
      </c>
      <c r="K71" s="323">
        <f>'Расчет базового уровня'!M71</f>
        <v>101622.26360655736</v>
      </c>
      <c r="L71" s="353">
        <f>K71</f>
        <v>101622.26360655736</v>
      </c>
      <c r="M71" s="323">
        <f>'Расчет базового уровня'!P71</f>
        <v>112510.36327868853</v>
      </c>
      <c r="N71" s="353">
        <f>M71</f>
        <v>112510.36327868853</v>
      </c>
      <c r="O71" s="323">
        <f>'Расчет базового уровня'!S71</f>
        <v>108880.99672131146</v>
      </c>
      <c r="P71" s="354">
        <f>O71</f>
        <v>108880.99672131146</v>
      </c>
      <c r="Q71" s="323">
        <f>'Расчет базового уровня'!V71</f>
        <v>72587.331147540972</v>
      </c>
      <c r="R71" s="335">
        <f>Q71</f>
        <v>72587.331147540972</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108880.99672131146</v>
      </c>
      <c r="AB71" s="353">
        <f>AA71</f>
        <v>108880.99672131146</v>
      </c>
      <c r="AC71" s="323">
        <f>'Расчет базового уровня'!AN71</f>
        <v>108880.99672131146</v>
      </c>
      <c r="AD71" s="353">
        <f>AC71</f>
        <v>108880.99672131146</v>
      </c>
      <c r="AE71" s="323">
        <f>'Расчет базового уровня'!AQ71</f>
        <v>112510.36327868853</v>
      </c>
      <c r="AF71" s="357">
        <f>AE71</f>
        <v>112510.36327868853</v>
      </c>
      <c r="AG71" s="74"/>
      <c r="AH71" s="74"/>
      <c r="AI71" s="74"/>
      <c r="AJ71" s="74"/>
      <c r="AK71" s="74"/>
      <c r="AL71" s="74"/>
      <c r="AM71" s="74"/>
      <c r="AN71" s="74"/>
      <c r="AO71" s="74"/>
      <c r="AP71" s="74"/>
      <c r="AQ71" s="74"/>
      <c r="AR71" s="74"/>
      <c r="AS71" s="74"/>
      <c r="AT71" s="74"/>
      <c r="AU71" s="74"/>
    </row>
    <row r="72" spans="1:47" ht="17.100000000000001" customHeight="1" thickBot="1" x14ac:dyDescent="0.3">
      <c r="A72" s="358" t="s">
        <v>874</v>
      </c>
      <c r="B72" s="359" t="s">
        <v>1184</v>
      </c>
      <c r="C72" s="360">
        <f>0.86*C71/1000</f>
        <v>689.79740789508196</v>
      </c>
      <c r="D72" s="361">
        <f>C72</f>
        <v>689.79740789508196</v>
      </c>
      <c r="E72" s="74"/>
      <c r="F72" s="74"/>
      <c r="G72" s="362" t="s">
        <v>874</v>
      </c>
      <c r="H72" s="363" t="s">
        <v>1184</v>
      </c>
      <c r="I72" s="364"/>
      <c r="J72" s="365">
        <f>0.86*J71/1000</f>
        <v>96.758912419672143</v>
      </c>
      <c r="K72" s="364"/>
      <c r="L72" s="365">
        <f>0.86*L71/1000</f>
        <v>87.395146701639334</v>
      </c>
      <c r="M72" s="364"/>
      <c r="N72" s="366">
        <f>0.86*N71/1000</f>
        <v>96.758912419672143</v>
      </c>
      <c r="O72" s="364"/>
      <c r="P72" s="367">
        <f>0.86*P71/1000</f>
        <v>93.637657180327849</v>
      </c>
      <c r="Q72" s="364"/>
      <c r="R72" s="368">
        <f>0.86*R71/1000</f>
        <v>62.425104786885235</v>
      </c>
      <c r="S72" s="364"/>
      <c r="T72" s="369">
        <f>0.86*T71/1000</f>
        <v>0</v>
      </c>
      <c r="U72" s="364"/>
      <c r="V72" s="367">
        <f>0.86*V71/1000</f>
        <v>0</v>
      </c>
      <c r="W72" s="364"/>
      <c r="X72" s="370">
        <f>0.86*X71/1000</f>
        <v>0</v>
      </c>
      <c r="Y72" s="364"/>
      <c r="Z72" s="370">
        <f>0.86*Z71/1000</f>
        <v>0</v>
      </c>
      <c r="AA72" s="364"/>
      <c r="AB72" s="369">
        <f>0.86*AB71/1000</f>
        <v>93.637657180327849</v>
      </c>
      <c r="AC72" s="364"/>
      <c r="AD72" s="369">
        <f>0.86*AD71/1000</f>
        <v>93.637657180327849</v>
      </c>
      <c r="AE72" s="364"/>
      <c r="AF72" s="371">
        <f>0.86*AF71/1000</f>
        <v>96.758912419672143</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25">
      <c r="A76" s="350" t="s">
        <v>1208</v>
      </c>
      <c r="B76" s="351" t="s">
        <v>1190</v>
      </c>
      <c r="C76" s="323">
        <f>'Расчет базового уровня'!D76</f>
        <v>195.10149136975457</v>
      </c>
      <c r="D76" s="393">
        <f>D35/('Ввод исходных данных'!$G$45+'Ввод исходных данных'!$D$23)</f>
        <v>142.37438001704305</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x14ac:dyDescent="0.3">
      <c r="A77" s="385" t="s">
        <v>874</v>
      </c>
      <c r="B77" s="397" t="s">
        <v>1209</v>
      </c>
      <c r="C77" s="398">
        <f>C76*0.86/1000</f>
        <v>0.16778728257798892</v>
      </c>
      <c r="D77" s="399">
        <f>D76*0.86/1000</f>
        <v>0.12244196681465702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07">
        <f>D38</f>
        <v>1242390.8480518628</v>
      </c>
      <c r="B80" s="408">
        <f>D62</f>
        <v>871214.55617187603</v>
      </c>
      <c r="C80" s="408">
        <f>D65</f>
        <v>85628.019981678808</v>
      </c>
      <c r="D80" s="409">
        <f>D68</f>
        <v>401045.00459016394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783" t="s">
        <v>1210</v>
      </c>
      <c r="B82" s="1783"/>
      <c r="C82" s="1783"/>
      <c r="D82" s="1783"/>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x14ac:dyDescent="0.25">
      <c r="A83" s="1813" t="s">
        <v>834</v>
      </c>
      <c r="B83" s="1815" t="s">
        <v>1174</v>
      </c>
      <c r="C83" s="1819" t="s">
        <v>1338</v>
      </c>
      <c r="D83" s="1817" t="s">
        <v>1402</v>
      </c>
      <c r="E83" s="74"/>
      <c r="F83" s="74"/>
      <c r="G83" s="1825" t="s">
        <v>834</v>
      </c>
      <c r="H83" s="1816" t="s">
        <v>1174</v>
      </c>
      <c r="I83" s="1826" t="s">
        <v>488</v>
      </c>
      <c r="J83" s="1827"/>
      <c r="K83" s="1826" t="s">
        <v>489</v>
      </c>
      <c r="L83" s="1827"/>
      <c r="M83" s="1826" t="s">
        <v>490</v>
      </c>
      <c r="N83" s="1827"/>
      <c r="O83" s="1826" t="s">
        <v>491</v>
      </c>
      <c r="P83" s="1827"/>
      <c r="Q83" s="1826" t="s">
        <v>805</v>
      </c>
      <c r="R83" s="1827"/>
      <c r="S83" s="1826" t="s">
        <v>806</v>
      </c>
      <c r="T83" s="1827"/>
      <c r="U83" s="1826" t="s">
        <v>807</v>
      </c>
      <c r="V83" s="1827"/>
      <c r="W83" s="1826" t="s">
        <v>808</v>
      </c>
      <c r="X83" s="1827"/>
      <c r="Y83" s="1826" t="s">
        <v>809</v>
      </c>
      <c r="Z83" s="1827"/>
      <c r="AA83" s="1826" t="s">
        <v>482</v>
      </c>
      <c r="AB83" s="1827"/>
      <c r="AC83" s="1826" t="s">
        <v>486</v>
      </c>
      <c r="AD83" s="1827"/>
      <c r="AE83" s="1826" t="s">
        <v>487</v>
      </c>
      <c r="AF83" s="1827"/>
      <c r="AG83" s="74"/>
      <c r="AH83" s="74"/>
      <c r="AI83" s="74"/>
      <c r="AJ83" s="74"/>
      <c r="AK83" s="74"/>
      <c r="AL83" s="74"/>
      <c r="AM83" s="74"/>
      <c r="AN83" s="74"/>
      <c r="AO83" s="74"/>
      <c r="AP83" s="74"/>
      <c r="AQ83" s="74"/>
      <c r="AR83" s="74"/>
      <c r="AS83" s="74"/>
      <c r="AT83" s="74"/>
      <c r="AU83" s="74"/>
      <c r="AV83" s="74"/>
      <c r="AW83" s="74"/>
    </row>
    <row r="84" spans="1:55" ht="45.75" customHeight="1" x14ac:dyDescent="0.25">
      <c r="A84" s="1814"/>
      <c r="B84" s="1816"/>
      <c r="C84" s="1810"/>
      <c r="D84" s="1818"/>
      <c r="E84" s="74"/>
      <c r="F84" s="74"/>
      <c r="G84" s="1825"/>
      <c r="H84" s="1816"/>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25">
      <c r="A85" s="415" t="s">
        <v>1212</v>
      </c>
      <c r="B85" s="416" t="s">
        <v>842</v>
      </c>
      <c r="C85" s="417">
        <f>'Расчет базового уровня'!D85</f>
        <v>1211197.0460000001</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1211197.0460000001</v>
      </c>
      <c r="E85" s="317"/>
      <c r="F85" s="419"/>
      <c r="G85" s="420" t="s">
        <v>1213</v>
      </c>
      <c r="H85" s="416" t="s">
        <v>842</v>
      </c>
      <c r="I85" s="421">
        <f>'Расчет базового уровня'!J85</f>
        <v>117463</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117463</v>
      </c>
      <c r="K85" s="421">
        <f>'Расчет базового уровня'!L85</f>
        <v>115137</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115137</v>
      </c>
      <c r="M85" s="421">
        <f>'Расчет базового уровня'!N85</f>
        <v>97043.045999999988</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97043.045999999988</v>
      </c>
      <c r="O85" s="421">
        <f>'Расчет базового уровня'!P85</f>
        <v>93040</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93040</v>
      </c>
      <c r="Q85" s="421">
        <f>'Расчет базового уровня'!R85</f>
        <v>93040</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93040</v>
      </c>
      <c r="S85" s="421">
        <f>'Расчет базового уровня'!T85</f>
        <v>93040</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93040</v>
      </c>
      <c r="U85" s="421">
        <f>'Расчет базового уровня'!V85</f>
        <v>93040</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93040</v>
      </c>
      <c r="W85" s="421">
        <f>'Расчет базового уровня'!X85</f>
        <v>93040</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93040</v>
      </c>
      <c r="Y85" s="421">
        <f>'Расчет базового уровня'!Z85</f>
        <v>93040</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93040</v>
      </c>
      <c r="AA85" s="421">
        <f>'Расчет базового уровня'!AB85</f>
        <v>93040</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93040</v>
      </c>
      <c r="AC85" s="421">
        <f>'Расчет базового уровня'!AD85</f>
        <v>118626</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118626</v>
      </c>
      <c r="AE85" s="421">
        <f>'Расчет базового уровня'!AF85</f>
        <v>111648</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111648</v>
      </c>
      <c r="AG85" s="74"/>
      <c r="AH85" s="74"/>
      <c r="AI85" s="74"/>
      <c r="AJ85" s="74"/>
      <c r="AK85" s="74"/>
      <c r="AL85" s="74"/>
      <c r="AM85" s="74"/>
      <c r="AN85" s="74"/>
      <c r="AO85" s="74"/>
      <c r="AP85" s="74"/>
      <c r="AQ85" s="74"/>
      <c r="AR85" s="74"/>
      <c r="AS85" s="74"/>
      <c r="AT85" s="74"/>
      <c r="AU85" s="74"/>
      <c r="AV85" s="74"/>
      <c r="AW85" s="74"/>
    </row>
    <row r="86" spans="1:55" x14ac:dyDescent="0.2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832421.41244658106</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25">
      <c r="A87" s="422" t="s">
        <v>874</v>
      </c>
      <c r="B87" s="416" t="s">
        <v>1181</v>
      </c>
      <c r="C87" s="310"/>
      <c r="D87" s="310">
        <f>IF(C85=0,0,D86/C85)</f>
        <v>0</v>
      </c>
      <c r="E87" s="317">
        <f>C85*D90/C90*(1+IF('Список мероприятий'!$AB$38=1,D174,'Расчет базового уровня'!$D$176))/(1+'Расчет базового уровня'!$D$176)+D178/0.86*1000</f>
        <v>1211197.0460000001</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25">
      <c r="A90" s="415" t="s">
        <v>1216</v>
      </c>
      <c r="B90" s="416" t="s">
        <v>1217</v>
      </c>
      <c r="C90" s="417">
        <f>'Расчет базового уровня'!D90</f>
        <v>11101</v>
      </c>
      <c r="D90" s="261">
        <f>C90*IF(AND('Система ГВС'!$F$17=0,'Список мероприятий'!$AB$39=1),0.9,1)</f>
        <v>11101</v>
      </c>
      <c r="E90" s="74"/>
      <c r="F90" s="74"/>
      <c r="G90" s="431" t="s">
        <v>1219</v>
      </c>
      <c r="H90" s="416" t="s">
        <v>1217</v>
      </c>
      <c r="I90" s="421">
        <f>'Расчет базового уровня'!J90</f>
        <v>1022</v>
      </c>
      <c r="J90" s="261">
        <f>I90*IF(AND('Система ГВС'!$F$17=0,'Список мероприятий'!$AB$39=1),0.9,1)</f>
        <v>1022</v>
      </c>
      <c r="K90" s="421">
        <f>'Расчет базового уровня'!L90</f>
        <v>1025</v>
      </c>
      <c r="L90" s="261">
        <f>K90*IF(AND('Система ГВС'!$F$17=0,'Список мероприятий'!$AB$39=1),0.9,1)</f>
        <v>1025</v>
      </c>
      <c r="M90" s="421">
        <f>'Расчет базового уровня'!N90</f>
        <v>863</v>
      </c>
      <c r="N90" s="261">
        <f>M90*IF(AND('Система ГВС'!$F$17=0,'Список мероприятий'!$AB$39=1),0.9,1)</f>
        <v>863</v>
      </c>
      <c r="O90" s="421">
        <f>'Расчет базового уровня'!P90</f>
        <v>1040</v>
      </c>
      <c r="P90" s="261">
        <f>O90*IF(AND('Система ГВС'!$F$17=0,'Список мероприятий'!$AB$39=1),0.9,1)</f>
        <v>1040</v>
      </c>
      <c r="Q90" s="421">
        <f>'Расчет базового уровня'!R90</f>
        <v>897</v>
      </c>
      <c r="R90" s="261">
        <f>Q90*IF(AND('Система ГВС'!$F$17=0,'Список мероприятий'!$AB$39=1),0.9,1)</f>
        <v>897</v>
      </c>
      <c r="S90" s="421">
        <f>'Расчет базового уровня'!T90</f>
        <v>850</v>
      </c>
      <c r="T90" s="261">
        <f>S90*IF(AND('Система ГВС'!$F$17=0,'Список мероприятий'!$AB$39=1),0.9,1)</f>
        <v>850</v>
      </c>
      <c r="U90" s="421">
        <f>'Расчет базового уровня'!V90</f>
        <v>850</v>
      </c>
      <c r="V90" s="261">
        <f>U90*IF(AND('Система ГВС'!$F$17=0,'Список мероприятий'!$AB$39=1),0.9,1)</f>
        <v>850</v>
      </c>
      <c r="W90" s="421">
        <f>'Расчет базового уровня'!X90</f>
        <v>850</v>
      </c>
      <c r="X90" s="261">
        <f>W90*IF(AND('Система ГВС'!$F$17=0,'Список мероприятий'!$AB$39=1),0.9,1)</f>
        <v>850</v>
      </c>
      <c r="Y90" s="421">
        <f>'Расчет базового уровня'!Z90</f>
        <v>850</v>
      </c>
      <c r="Z90" s="261">
        <f>Y90*IF(AND('Система ГВС'!$F$17=0,'Список мероприятий'!$AB$39=1),0.9,1)</f>
        <v>850</v>
      </c>
      <c r="AA90" s="421">
        <f>'Расчет базового уровня'!AB90</f>
        <v>900</v>
      </c>
      <c r="AB90" s="261">
        <f>AA90*IF(AND('Система ГВС'!$F$17=0,'Список мероприятий'!$AB$39=1),0.9,1)</f>
        <v>900</v>
      </c>
      <c r="AC90" s="421">
        <f>'Расчет базового уровня'!AD90</f>
        <v>986</v>
      </c>
      <c r="AD90" s="261">
        <f>AC90*IF(AND('Система ГВС'!$F$17=0,'Список мероприятий'!$AB$39=1),0.9,1)</f>
        <v>986</v>
      </c>
      <c r="AE90" s="421">
        <f>'Расчет базового уровня'!AF90</f>
        <v>968</v>
      </c>
      <c r="AF90" s="261">
        <f>AE90*IF(AND('Система ГВС'!$F$17=0,'Список мероприятий'!$AB$39=1),0.9,1)</f>
        <v>968</v>
      </c>
      <c r="AG90" s="74"/>
      <c r="AH90" s="74"/>
      <c r="AI90" s="74"/>
      <c r="AJ90" s="74"/>
      <c r="AK90" s="74"/>
      <c r="AL90" s="74"/>
      <c r="AM90" s="74"/>
      <c r="AN90" s="74"/>
      <c r="AO90" s="74"/>
      <c r="AP90" s="74"/>
      <c r="AQ90" s="74"/>
      <c r="AR90" s="74"/>
      <c r="AS90" s="74"/>
      <c r="AT90" s="74"/>
      <c r="AU90" s="74"/>
      <c r="AV90" s="74"/>
      <c r="AW90" s="74"/>
    </row>
    <row r="91" spans="1:55" x14ac:dyDescent="0.2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2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25">
      <c r="A93" s="432" t="s">
        <v>1221</v>
      </c>
      <c r="B93" s="309" t="s">
        <v>1190</v>
      </c>
      <c r="C93" s="417">
        <f>'Расчет базового уровня'!D93</f>
        <v>95.898420110847198</v>
      </c>
      <c r="D93" s="433">
        <f>D85/('Ввод исходных данных'!$G$45+'Ввод исходных данных'!$D$23)</f>
        <v>95.898420110847198</v>
      </c>
      <c r="E93" s="74"/>
      <c r="F93" s="74"/>
      <c r="G93" s="74"/>
      <c r="H93" s="74"/>
      <c r="I93" s="74">
        <f>IF(G146&gt;14,1,0)</f>
        <v>1</v>
      </c>
      <c r="J93" s="74"/>
      <c r="K93" s="74">
        <f>IF(H146&gt;14,1,0)</f>
        <v>1</v>
      </c>
      <c r="L93" s="74"/>
      <c r="M93" s="74">
        <f>IF(I146&gt;14,1,0)</f>
        <v>1</v>
      </c>
      <c r="O93" s="74">
        <f>IF(J146&gt;14,1,0)</f>
        <v>1</v>
      </c>
      <c r="Q93" s="74">
        <f>IF(K146&gt;14,1,0)</f>
        <v>1</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778" t="s">
        <v>1186</v>
      </c>
      <c r="B97" s="1778"/>
      <c r="C97" s="1778"/>
      <c r="D97" s="1778"/>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25">
      <c r="A98" s="1820" t="s">
        <v>834</v>
      </c>
      <c r="B98" s="1815" t="s">
        <v>1174</v>
      </c>
      <c r="C98" s="1824" t="s">
        <v>1338</v>
      </c>
      <c r="D98" s="1822" t="s">
        <v>1402</v>
      </c>
      <c r="E98" s="74"/>
      <c r="F98" s="74"/>
      <c r="G98" s="1820" t="s">
        <v>834</v>
      </c>
      <c r="H98" s="1815" t="s">
        <v>1174</v>
      </c>
      <c r="I98" s="1815" t="s">
        <v>488</v>
      </c>
      <c r="J98" s="1815"/>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25">
      <c r="A99" s="1821"/>
      <c r="B99" s="1816"/>
      <c r="C99" s="1825"/>
      <c r="D99" s="1823"/>
      <c r="E99" s="74"/>
      <c r="F99" s="74"/>
      <c r="G99" s="1821"/>
      <c r="H99" s="1816"/>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25">
      <c r="A100" s="446" t="s">
        <v>1224</v>
      </c>
      <c r="B100" s="416" t="s">
        <v>842</v>
      </c>
      <c r="C100" s="424">
        <f>'Расчет базового уровня'!D100</f>
        <v>108349.35999999997</v>
      </c>
      <c r="D100" s="447">
        <f>D102+D104+D106+D111</f>
        <v>109680.26408200094</v>
      </c>
      <c r="E100" s="317"/>
      <c r="F100" s="74"/>
      <c r="G100" s="446" t="s">
        <v>1225</v>
      </c>
      <c r="H100" s="416" t="s">
        <v>842</v>
      </c>
      <c r="I100" s="424">
        <f>'Расчет базового уровня'!J100</f>
        <v>15111</v>
      </c>
      <c r="J100" s="448">
        <f>J102+J104+J106+J111</f>
        <v>9286.0454723482289</v>
      </c>
      <c r="K100" s="424">
        <f>'Расчет базового уровня'!L100</f>
        <v>3109</v>
      </c>
      <c r="L100" s="448">
        <f>L102+L104+L106+L111</f>
        <v>9247.1798677523566</v>
      </c>
      <c r="M100" s="424">
        <f>'Расчет базового уровня'!N100</f>
        <v>15474</v>
      </c>
      <c r="N100" s="448">
        <f>N102+N104+N106+N111</f>
        <v>9203.139003827333</v>
      </c>
      <c r="O100" s="424">
        <f>'Расчет базового уровня'!P100</f>
        <v>11588</v>
      </c>
      <c r="P100" s="448">
        <f>P102+P104+P106+P111</f>
        <v>9070.8197905981906</v>
      </c>
      <c r="Q100" s="424">
        <f>'Расчет базового уровня'!R100</f>
        <v>10440.999999999998</v>
      </c>
      <c r="R100" s="448">
        <f>R102+R104+R106+R111</f>
        <v>9039.6063446589214</v>
      </c>
      <c r="S100" s="424">
        <f>'Расчет базового уровня'!T100</f>
        <v>8125</v>
      </c>
      <c r="T100" s="448">
        <f>T102+T104+T106+T111</f>
        <v>9029.113333333331</v>
      </c>
      <c r="U100" s="424">
        <f>'Расчет базового уровня'!V100</f>
        <v>7904</v>
      </c>
      <c r="V100" s="449">
        <f>V102+V104+V106+V111</f>
        <v>9029.113333333331</v>
      </c>
      <c r="W100" s="424">
        <f>'Расчет базового уровня'!X100</f>
        <v>8455</v>
      </c>
      <c r="X100" s="448">
        <f>X102+X104+X106+X111</f>
        <v>9029.113333333331</v>
      </c>
      <c r="Y100" s="424">
        <f>'Расчет базового уровня'!Z100</f>
        <v>8233.9999999999982</v>
      </c>
      <c r="Z100" s="448">
        <f>Z102+Z104+Z106+Z111</f>
        <v>9029.113333333331</v>
      </c>
      <c r="AA100" s="424">
        <f>'Расчет базового уровня'!AB100</f>
        <v>8128</v>
      </c>
      <c r="AB100" s="450">
        <f>AB102+AB104+AB106+AB111</f>
        <v>9138.9536112553178</v>
      </c>
      <c r="AC100" s="424">
        <f>'Расчет базового уровня'!AD100</f>
        <v>6600</v>
      </c>
      <c r="AD100" s="424">
        <f>AD102+AD104+AD106+AD111</f>
        <v>9265.5537062558178</v>
      </c>
      <c r="AE100" s="424">
        <f>'Расчет базового уровня'!AF100</f>
        <v>5180.3600000000006</v>
      </c>
      <c r="AF100" s="451">
        <f>AF102+AF104+AF106+AF111</f>
        <v>9252.3650186755513</v>
      </c>
      <c r="AG100" s="74"/>
      <c r="AH100" s="74"/>
      <c r="AI100" s="74"/>
      <c r="AJ100" s="74"/>
      <c r="AK100" s="74"/>
      <c r="AL100" s="74"/>
      <c r="AM100" s="74"/>
      <c r="AN100" s="74"/>
      <c r="AO100" s="74"/>
      <c r="AP100" s="74"/>
      <c r="AQ100" s="74"/>
      <c r="AR100" s="74"/>
    </row>
    <row r="101" spans="1:51" ht="18.95" customHeight="1" x14ac:dyDescent="0.25">
      <c r="A101" s="452" t="s">
        <v>1340</v>
      </c>
      <c r="B101" s="416" t="s">
        <v>1181</v>
      </c>
      <c r="C101" s="428"/>
      <c r="D101" s="453">
        <f>IF(C100=0,0,D100/C100-1)</f>
        <v>1.2283451254358813E-2</v>
      </c>
      <c r="E101" s="74"/>
      <c r="F101" s="74"/>
      <c r="G101" s="452" t="s">
        <v>1340</v>
      </c>
      <c r="H101" s="416" t="s">
        <v>1181</v>
      </c>
      <c r="I101" s="428"/>
      <c r="J101" s="425">
        <f>IF(I100=0,0,J100/I100-1)</f>
        <v>-0.38547776637229636</v>
      </c>
      <c r="K101" s="428"/>
      <c r="L101" s="425">
        <f>IF(K100=0,0,L100/K100-1)</f>
        <v>1.9743261073503882</v>
      </c>
      <c r="M101" s="428"/>
      <c r="N101" s="425">
        <f>IF(M100=0,0,N100/M100-1)</f>
        <v>-0.40525145380461847</v>
      </c>
      <c r="O101" s="428"/>
      <c r="P101" s="425">
        <f>IF(O100=0,0,P100/O100-1)</f>
        <v>-0.2172230073698489</v>
      </c>
      <c r="Q101" s="428"/>
      <c r="R101" s="425">
        <f>IF(Q100=0,0,R100/Q100-1)</f>
        <v>-0.13422025240312963</v>
      </c>
      <c r="S101" s="428"/>
      <c r="T101" s="425">
        <f>IF(S100=0,0,T100/S100-1)</f>
        <v>0.11127548717948699</v>
      </c>
      <c r="U101" s="428"/>
      <c r="V101" s="425">
        <f>IF(U100=0,0,V100/U100-1)</f>
        <v>0.14234733468286076</v>
      </c>
      <c r="W101" s="428"/>
      <c r="X101" s="425">
        <f>IF(W100=0,0,X100/W100-1)</f>
        <v>6.790222747880903E-2</v>
      </c>
      <c r="Y101" s="428"/>
      <c r="Z101" s="425">
        <f>IF(Y100=0,0,Z100/Y100-1)</f>
        <v>9.6564650635575955E-2</v>
      </c>
      <c r="AA101" s="428"/>
      <c r="AB101" s="425">
        <f>IF(AA100=0,0,AB100/AA100-1)</f>
        <v>0.12437913524302635</v>
      </c>
      <c r="AC101" s="428"/>
      <c r="AD101" s="425">
        <f>IF(AC100=0,0,AD100/AC100-1)</f>
        <v>0.40387177367512384</v>
      </c>
      <c r="AE101" s="428"/>
      <c r="AF101" s="453">
        <f>IF(AE100=0,0,AF100/AE100-1)</f>
        <v>0.78604672622666194</v>
      </c>
      <c r="AG101" s="74"/>
      <c r="AH101" s="74"/>
      <c r="AI101" s="74"/>
      <c r="AJ101" s="74"/>
      <c r="AK101" s="74"/>
      <c r="AL101" s="74"/>
      <c r="AM101" s="74"/>
      <c r="AN101" s="74"/>
      <c r="AO101" s="74"/>
      <c r="AP101" s="74"/>
      <c r="AQ101" s="74"/>
      <c r="AR101" s="74"/>
    </row>
    <row r="102" spans="1:51" ht="26.45" customHeight="1" x14ac:dyDescent="0.25">
      <c r="A102" s="454" t="s">
        <v>1226</v>
      </c>
      <c r="B102" s="416" t="s">
        <v>842</v>
      </c>
      <c r="C102" s="424">
        <f>'Расчет базового уровня'!D102</f>
        <v>48896.332085320333</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48896.332085320333</v>
      </c>
      <c r="E102" s="455"/>
      <c r="F102" s="74"/>
      <c r="G102" s="454" t="s">
        <v>1226</v>
      </c>
      <c r="H102" s="416" t="s">
        <v>842</v>
      </c>
      <c r="I102" s="424">
        <f>'Расчет базового уровня'!J102</f>
        <v>6819.3524552547042</v>
      </c>
      <c r="J102" s="424">
        <f>$D$102/12</f>
        <v>4074.6943404433609</v>
      </c>
      <c r="K102" s="424">
        <f>'Расчет базового уровня'!L102</f>
        <v>1403.0419418560568</v>
      </c>
      <c r="L102" s="424">
        <f>$D$102/12</f>
        <v>4074.6943404433609</v>
      </c>
      <c r="M102" s="424">
        <f>'Расчет базового уровня'!N102</f>
        <v>6983.1685456032892</v>
      </c>
      <c r="N102" s="424">
        <f>$D$102/12</f>
        <v>4074.6943404433609</v>
      </c>
      <c r="O102" s="424">
        <f>'Расчет базового уровня'!P102</f>
        <v>5229.4789392820803</v>
      </c>
      <c r="P102" s="424">
        <f>$D$102/12</f>
        <v>4074.6943404433609</v>
      </c>
      <c r="Q102" s="424">
        <f>'Расчет базового уровня'!R102</f>
        <v>4711.8561965001891</v>
      </c>
      <c r="R102" s="424">
        <f>$D$102/12</f>
        <v>4074.6943404433609</v>
      </c>
      <c r="S102" s="424">
        <f>'Расчет базового уровня'!T102</f>
        <v>3666.6824630364945</v>
      </c>
      <c r="T102" s="424">
        <f>$D$102/12</f>
        <v>4074.6943404433609</v>
      </c>
      <c r="U102" s="424">
        <f>'Расчет базового уровня'!V102</f>
        <v>3566.9487000419017</v>
      </c>
      <c r="V102" s="450">
        <f>$D$102/12</f>
        <v>4074.6943404433609</v>
      </c>
      <c r="W102" s="424">
        <f>'Расчет базового уровня'!X102</f>
        <v>3815.6061815352077</v>
      </c>
      <c r="X102" s="424">
        <f>$D$102/12</f>
        <v>4074.6943404433609</v>
      </c>
      <c r="Y102" s="424">
        <f>'Расчет базового уровня'!Z102</f>
        <v>3715.8724185406145</v>
      </c>
      <c r="Z102" s="424">
        <f>$D$102/12</f>
        <v>4074.6943404433609</v>
      </c>
      <c r="AA102" s="424">
        <f>'Расчет базового уровня'!AB102</f>
        <v>3668.0363150228468</v>
      </c>
      <c r="AB102" s="450">
        <f>$D$102/12</f>
        <v>4074.6943404433609</v>
      </c>
      <c r="AC102" s="424">
        <f>'Расчет базового уровня'!AD102</f>
        <v>2978.4743699742603</v>
      </c>
      <c r="AD102" s="424">
        <f>$D$102/12</f>
        <v>4074.6943404433609</v>
      </c>
      <c r="AE102" s="424">
        <f>'Расчет базового уровня'!AF102</f>
        <v>2337.8135586727062</v>
      </c>
      <c r="AF102" s="451">
        <f>$D$102/12</f>
        <v>4074.6943404433609</v>
      </c>
      <c r="AG102" s="74"/>
      <c r="AH102" s="74"/>
      <c r="AI102" s="74"/>
      <c r="AJ102" s="74"/>
      <c r="AK102" s="74"/>
      <c r="AL102" s="74"/>
      <c r="AM102" s="74"/>
      <c r="AN102" s="74"/>
      <c r="AO102" s="74"/>
      <c r="AP102" s="74"/>
      <c r="AQ102" s="74"/>
      <c r="AR102" s="74"/>
    </row>
    <row r="103" spans="1:51" x14ac:dyDescent="0.25">
      <c r="A103" s="452" t="s">
        <v>874</v>
      </c>
      <c r="B103" s="416" t="s">
        <v>1181</v>
      </c>
      <c r="C103" s="428"/>
      <c r="D103" s="453">
        <f>IF(C102=0,0,D102/C102-1)</f>
        <v>0</v>
      </c>
      <c r="E103" s="74"/>
      <c r="F103" s="74"/>
      <c r="G103" s="452" t="s">
        <v>1340</v>
      </c>
      <c r="H103" s="416" t="s">
        <v>1181</v>
      </c>
      <c r="I103" s="428"/>
      <c r="J103" s="425">
        <f>IF(I102=0,0,J102/I102-1)</f>
        <v>-0.40248075353495272</v>
      </c>
      <c r="K103" s="428"/>
      <c r="L103" s="425">
        <f>IF(K102=0,0,L102/K102-1)</f>
        <v>1.904185697437546</v>
      </c>
      <c r="M103" s="428"/>
      <c r="N103" s="425">
        <f>IF(M102=0,0,N102/M102-1)</f>
        <v>-0.41649778122441972</v>
      </c>
      <c r="O103" s="428"/>
      <c r="P103" s="425">
        <f>IF(O102=0,0,P102/O102-1)</f>
        <v>-0.22082211483143521</v>
      </c>
      <c r="Q103" s="428"/>
      <c r="R103" s="425">
        <f>IF(Q102=0,0,R102/Q102-1)</f>
        <v>-0.13522523385371799</v>
      </c>
      <c r="S103" s="428"/>
      <c r="T103" s="425">
        <f>IF(S102=0,0,T102/S102-1)</f>
        <v>0.11127548717948677</v>
      </c>
      <c r="U103" s="428"/>
      <c r="V103" s="425">
        <f>IF(U102=0,0,V102/U102-1)</f>
        <v>0.14234733468286054</v>
      </c>
      <c r="W103" s="428"/>
      <c r="X103" s="425">
        <f>IF(W102=0,0,X102/W102-1)</f>
        <v>6.790222747880903E-2</v>
      </c>
      <c r="Y103" s="428"/>
      <c r="Z103" s="425">
        <f>IF(Y102=0,0,Z102/Y102-1)</f>
        <v>9.6564650635575733E-2</v>
      </c>
      <c r="AA103" s="428"/>
      <c r="AB103" s="425">
        <f>IF(AA102=0,0,AB102/AA102-1)</f>
        <v>0.11086532152230921</v>
      </c>
      <c r="AC103" s="428"/>
      <c r="AD103" s="425">
        <f>IF(AC102=0,0,AD102/AC102-1)</f>
        <v>0.36804747474747423</v>
      </c>
      <c r="AE103" s="428"/>
      <c r="AF103" s="453">
        <f>IF(AE102=0,0,AF102/AE102-1)</f>
        <v>0.74295094034648712</v>
      </c>
      <c r="AG103" s="74"/>
      <c r="AH103" s="74"/>
      <c r="AI103" s="74"/>
      <c r="AJ103" s="74"/>
      <c r="AK103" s="74"/>
      <c r="AL103" s="74"/>
      <c r="AM103" s="74"/>
      <c r="AN103" s="74"/>
      <c r="AO103" s="74"/>
      <c r="AP103" s="74"/>
      <c r="AQ103" s="74"/>
      <c r="AR103" s="74"/>
    </row>
    <row r="104" spans="1:51" x14ac:dyDescent="0.25">
      <c r="A104" s="454" t="s">
        <v>1233</v>
      </c>
      <c r="B104" s="416" t="s">
        <v>842</v>
      </c>
      <c r="C104" s="424">
        <f>'Расчет базового уровня'!D104</f>
        <v>59453.027914679646</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59453.027914679646</v>
      </c>
      <c r="E104" s="317"/>
      <c r="F104" s="456"/>
      <c r="G104" s="454" t="s">
        <v>1233</v>
      </c>
      <c r="H104" s="416" t="s">
        <v>842</v>
      </c>
      <c r="I104" s="424">
        <f>'Расчет базового уровня'!J104</f>
        <v>8291.6475447452958</v>
      </c>
      <c r="J104" s="424">
        <f>D104/12</f>
        <v>4954.4189928899705</v>
      </c>
      <c r="K104" s="424">
        <f>'Расчет базового уровня'!L104</f>
        <v>1705.9580581439432</v>
      </c>
      <c r="L104" s="424">
        <f>J104</f>
        <v>4954.4189928899705</v>
      </c>
      <c r="M104" s="424">
        <f>'Расчет базового уровня'!N104</f>
        <v>8490.8314543967117</v>
      </c>
      <c r="N104" s="428">
        <f>L104</f>
        <v>4954.4189928899705</v>
      </c>
      <c r="O104" s="424">
        <f>'Расчет базового уровня'!P104</f>
        <v>6358.5210607179197</v>
      </c>
      <c r="P104" s="428">
        <f>N104</f>
        <v>4954.4189928899705</v>
      </c>
      <c r="Q104" s="424">
        <f>'Расчет базового уровня'!R104</f>
        <v>5729.14380349981</v>
      </c>
      <c r="R104" s="428">
        <f>P104</f>
        <v>4954.4189928899705</v>
      </c>
      <c r="S104" s="424">
        <f>'Расчет базового уровня'!T104</f>
        <v>4458.3175369635046</v>
      </c>
      <c r="T104" s="428">
        <f>R104</f>
        <v>4954.4189928899705</v>
      </c>
      <c r="U104" s="424">
        <f>'Расчет базового уровня'!V104</f>
        <v>4337.0512999580978</v>
      </c>
      <c r="V104" s="457">
        <f>T104</f>
        <v>4954.4189928899705</v>
      </c>
      <c r="W104" s="424">
        <f>'Расчет базового уровня'!X104</f>
        <v>4639.3938184647923</v>
      </c>
      <c r="X104" s="428">
        <f>V104</f>
        <v>4954.4189928899705</v>
      </c>
      <c r="Y104" s="424">
        <f>'Расчет базового уровня'!Z104</f>
        <v>4518.1275814593846</v>
      </c>
      <c r="Z104" s="428">
        <f>X104</f>
        <v>4954.4189928899705</v>
      </c>
      <c r="AA104" s="424">
        <f>'Расчет базового уровня'!AB104</f>
        <v>4459.9636849771532</v>
      </c>
      <c r="AB104" s="457">
        <f>Z104</f>
        <v>4954.4189928899705</v>
      </c>
      <c r="AC104" s="424">
        <f>'Расчет базового уровня'!AD104</f>
        <v>3621.5256300257397</v>
      </c>
      <c r="AD104" s="428">
        <f>AB104</f>
        <v>4954.4189928899705</v>
      </c>
      <c r="AE104" s="424">
        <f>'Расчет базового уровня'!AF104</f>
        <v>2842.5464413272944</v>
      </c>
      <c r="AF104" s="458">
        <f>AD104</f>
        <v>4954.4189928899705</v>
      </c>
      <c r="AG104" s="74"/>
      <c r="AH104" s="74"/>
      <c r="AI104" s="74"/>
      <c r="AJ104" s="74"/>
      <c r="AK104" s="74"/>
      <c r="AL104" s="74"/>
      <c r="AM104" s="74"/>
      <c r="AN104" s="74"/>
      <c r="AO104" s="74"/>
      <c r="AP104" s="74"/>
      <c r="AQ104" s="74"/>
      <c r="AR104" s="74"/>
    </row>
    <row r="105" spans="1:51" x14ac:dyDescent="0.25">
      <c r="A105" s="452" t="s">
        <v>874</v>
      </c>
      <c r="B105" s="416" t="s">
        <v>1181</v>
      </c>
      <c r="C105" s="428"/>
      <c r="D105" s="453">
        <f>IF(C104=0,0,D104/C104-1)</f>
        <v>0</v>
      </c>
      <c r="E105" s="317"/>
      <c r="F105" s="74"/>
      <c r="G105" s="452" t="s">
        <v>1340</v>
      </c>
      <c r="H105" s="416" t="s">
        <v>1181</v>
      </c>
      <c r="I105" s="428"/>
      <c r="J105" s="425">
        <f>IF(I104=0,0,J104/I104-1)</f>
        <v>-0.4024807535349525</v>
      </c>
      <c r="K105" s="428"/>
      <c r="L105" s="425">
        <f>IF(K104=0,0,L104/K104-1)</f>
        <v>1.9041856974375468</v>
      </c>
      <c r="M105" s="428"/>
      <c r="N105" s="425">
        <f>IF(M104=0,0,N104/M104-1)</f>
        <v>-0.41649778122441949</v>
      </c>
      <c r="O105" s="428"/>
      <c r="P105" s="425">
        <f>IF(O104=0,0,P104/O104-1)</f>
        <v>-0.22082211483143477</v>
      </c>
      <c r="Q105" s="428"/>
      <c r="R105" s="425">
        <f>IF(Q104=0,0,R104/Q104-1)</f>
        <v>-0.13522523385371776</v>
      </c>
      <c r="S105" s="428"/>
      <c r="T105" s="425">
        <f>IF(S104=0,0,T104/S104-1)</f>
        <v>0.11127548717948721</v>
      </c>
      <c r="U105" s="428"/>
      <c r="V105" s="425">
        <f>IF(U104=0,0,V104/U104-1)</f>
        <v>0.14234733468286098</v>
      </c>
      <c r="W105" s="428"/>
      <c r="X105" s="425">
        <f>IF(W104=0,0,X104/W104-1)</f>
        <v>6.7902227478809252E-2</v>
      </c>
      <c r="Y105" s="428"/>
      <c r="Z105" s="425">
        <f>IF(Y104=0,0,Z104/Y104-1)</f>
        <v>9.6564650635576177E-2</v>
      </c>
      <c r="AA105" s="428"/>
      <c r="AB105" s="425">
        <f>IF(AA104=0,0,AB104/AA104-1)</f>
        <v>0.11086532152230966</v>
      </c>
      <c r="AC105" s="428"/>
      <c r="AD105" s="425">
        <f>IF(AC104=0,0,AD104/AC104-1)</f>
        <v>0.36804747474747468</v>
      </c>
      <c r="AE105" s="428"/>
      <c r="AF105" s="453">
        <f>IF(AE104=0,0,AF104/AE104-1)</f>
        <v>0.74295094034648779</v>
      </c>
      <c r="AG105" s="74"/>
      <c r="AH105" s="74"/>
      <c r="AI105" s="74"/>
      <c r="AJ105" s="74"/>
      <c r="AK105" s="74"/>
      <c r="AL105" s="74"/>
      <c r="AM105" s="74"/>
      <c r="AN105" s="74"/>
      <c r="AO105" s="74"/>
      <c r="AP105" s="74"/>
      <c r="AQ105" s="74"/>
      <c r="AR105" s="74"/>
    </row>
    <row r="106" spans="1:51" x14ac:dyDescent="0.25">
      <c r="A106" s="454" t="s">
        <v>1235</v>
      </c>
      <c r="B106" s="416" t="s">
        <v>842</v>
      </c>
      <c r="C106" s="424">
        <f>'Расчет базового уровня'!D106</f>
        <v>0</v>
      </c>
      <c r="D106" s="447">
        <f>D108+D109+D110</f>
        <v>1330.90408200095</v>
      </c>
      <c r="E106" s="317"/>
      <c r="F106" s="317"/>
      <c r="G106" s="454" t="s">
        <v>1234</v>
      </c>
      <c r="H106" s="416" t="s">
        <v>842</v>
      </c>
      <c r="I106" s="424">
        <f>'Расчет базового уровня'!J106</f>
        <v>0</v>
      </c>
      <c r="J106" s="447">
        <f>J108+J109+J110</f>
        <v>256.93213901489798</v>
      </c>
      <c r="K106" s="424">
        <f>'Расчет базового уровня'!L106</f>
        <v>0</v>
      </c>
      <c r="L106" s="447">
        <f>L108+L109+L110</f>
        <v>218.06653441902583</v>
      </c>
      <c r="M106" s="424">
        <f>'Расчет базового уровня'!N106</f>
        <v>0</v>
      </c>
      <c r="N106" s="447">
        <f>N108+N109+N110</f>
        <v>174.02567049400275</v>
      </c>
      <c r="O106" s="424">
        <f>'Расчет базового уровня'!P106</f>
        <v>0</v>
      </c>
      <c r="P106" s="447">
        <f>P108+P109+P110</f>
        <v>41.70645726486002</v>
      </c>
      <c r="Q106" s="424">
        <f>'Расчет базового уровня'!R106</f>
        <v>0</v>
      </c>
      <c r="R106" s="447">
        <f>R108+R109+R110</f>
        <v>10.493011325590173</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0</v>
      </c>
      <c r="AA106" s="424">
        <f>'Расчет базового уровня'!AB106</f>
        <v>0</v>
      </c>
      <c r="AB106" s="447">
        <f>AB108+AB109+AB110</f>
        <v>109.8402779219866</v>
      </c>
      <c r="AC106" s="424">
        <f>'Расчет базового уровня'!AD106</f>
        <v>0</v>
      </c>
      <c r="AD106" s="447">
        <f>AD108+AD109+AD110</f>
        <v>236.44037292248763</v>
      </c>
      <c r="AE106" s="424">
        <f>'Расчет базового уровня'!AF106</f>
        <v>0</v>
      </c>
      <c r="AF106" s="447">
        <f>AF108+AF109+AF110</f>
        <v>223.25168534221982</v>
      </c>
      <c r="AG106" s="74"/>
      <c r="AH106" s="74"/>
      <c r="AI106" s="74"/>
      <c r="AJ106" s="74"/>
      <c r="AK106" s="74"/>
      <c r="AL106" s="74"/>
      <c r="AM106" s="74"/>
      <c r="AN106" s="74"/>
      <c r="AO106" s="74"/>
      <c r="AP106" s="74"/>
      <c r="AQ106" s="74"/>
      <c r="AR106" s="74"/>
    </row>
    <row r="107" spans="1:51" ht="23.25" customHeight="1" x14ac:dyDescent="0.25">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x14ac:dyDescent="0.25">
      <c r="A108" s="452" t="s">
        <v>998</v>
      </c>
      <c r="B108" s="416" t="s">
        <v>842</v>
      </c>
      <c r="C108" s="424">
        <f>'Расчет базового уровня'!D108</f>
        <v>0</v>
      </c>
      <c r="D108" s="459">
        <f>'Система электроснабжения'!C51</f>
        <v>1330.90408200095</v>
      </c>
      <c r="E108" s="419"/>
      <c r="F108" s="74"/>
      <c r="G108" s="452" t="s">
        <v>998</v>
      </c>
      <c r="H108" s="416" t="s">
        <v>842</v>
      </c>
      <c r="I108" s="428"/>
      <c r="J108" s="459">
        <f>'Система электроснабжения'!$E$51</f>
        <v>256.93213901489798</v>
      </c>
      <c r="K108" s="428"/>
      <c r="L108" s="459">
        <f>'Система электроснабжения'!$F$51</f>
        <v>218.06653441902583</v>
      </c>
      <c r="M108" s="428"/>
      <c r="N108" s="459">
        <f>'Система электроснабжения'!$G$50</f>
        <v>174.02567049400275</v>
      </c>
      <c r="O108" s="428"/>
      <c r="P108" s="459">
        <f>'Система электроснабжения'!$H$50</f>
        <v>41.70645726486002</v>
      </c>
      <c r="Q108" s="428"/>
      <c r="R108" s="459">
        <f>'Система электроснабжения'!$I$50</f>
        <v>10.493011325590173</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109.8402779219866</v>
      </c>
      <c r="AC108" s="428"/>
      <c r="AD108" s="459">
        <f>'Система электроснабжения'!$O$50</f>
        <v>236.44037292248763</v>
      </c>
      <c r="AE108" s="428"/>
      <c r="AF108" s="459">
        <f>'Система электроснабжения'!$P$50</f>
        <v>223.25168534221982</v>
      </c>
      <c r="AG108" s="74"/>
      <c r="AH108" s="74"/>
      <c r="AI108" s="74"/>
      <c r="AJ108" s="74"/>
      <c r="AK108" s="74"/>
      <c r="AL108" s="74"/>
      <c r="AM108" s="74"/>
      <c r="AN108" s="74"/>
      <c r="AO108" s="74"/>
      <c r="AP108" s="74"/>
      <c r="AQ108" s="74"/>
      <c r="AR108" s="74"/>
    </row>
    <row r="109" spans="1:51" ht="12.75" customHeight="1" x14ac:dyDescent="0.25">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25">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25">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2" t="s">
        <v>1230</v>
      </c>
      <c r="B115" s="463" t="s">
        <v>1190</v>
      </c>
      <c r="C115" s="464">
        <f>'Расчет базового уровня'!D115</f>
        <v>8.5787300079176543</v>
      </c>
      <c r="D115" s="465">
        <f>D100/('Ввод исходных данных'!$G$45+'Ввод исходных данных'!$D$23)</f>
        <v>8.6841064197942153</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25">
      <c r="A134" s="480" t="s">
        <v>514</v>
      </c>
      <c r="B134" s="481">
        <f>'Расчет базового уровня'!B134</f>
        <v>5966</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1.4039408866995078</v>
      </c>
      <c r="D134" s="481">
        <v>1</v>
      </c>
      <c r="E134" s="483">
        <f>IF(C134=0,0,B134/C134*D134)*(1-D163)</f>
        <v>4249.4666666666653</v>
      </c>
      <c r="F134" s="484">
        <f>E134*(20-$D$145)</f>
        <v>242219.59999999992</v>
      </c>
      <c r="G134" s="483">
        <f t="shared" ref="G134:R134" si="0">$E$134*0.024*G$147</f>
        <v>109549.55087999995</v>
      </c>
      <c r="H134" s="483">
        <f t="shared" si="0"/>
        <v>92951.13407999996</v>
      </c>
      <c r="I134" s="483">
        <f t="shared" si="0"/>
        <v>79956.944927999983</v>
      </c>
      <c r="J134" s="483">
        <f t="shared" si="0"/>
        <v>30320.794559999995</v>
      </c>
      <c r="K134" s="483">
        <f t="shared" si="0"/>
        <v>17378.618879999995</v>
      </c>
      <c r="L134" s="483">
        <f t="shared" si="0"/>
        <v>0</v>
      </c>
      <c r="M134" s="483">
        <f t="shared" si="0"/>
        <v>0</v>
      </c>
      <c r="N134" s="483">
        <f t="shared" si="0"/>
        <v>0</v>
      </c>
      <c r="O134" s="483">
        <f t="shared" si="0"/>
        <v>0</v>
      </c>
      <c r="P134" s="483">
        <f t="shared" si="0"/>
        <v>64894.455359999993</v>
      </c>
      <c r="Q134" s="483">
        <f t="shared" si="0"/>
        <v>100600.17407999998</v>
      </c>
      <c r="R134" s="483">
        <f t="shared" si="0"/>
        <v>96966.370143999986</v>
      </c>
      <c r="S134" s="485"/>
      <c r="T134" s="74"/>
      <c r="U134" s="74"/>
      <c r="V134" s="74"/>
      <c r="W134" s="74"/>
      <c r="X134" s="74"/>
      <c r="Y134" s="74"/>
      <c r="Z134" s="74"/>
      <c r="AA134" s="74"/>
      <c r="AB134" s="74"/>
    </row>
    <row r="135" spans="1:55" x14ac:dyDescent="0.25">
      <c r="A135" s="480" t="s">
        <v>611</v>
      </c>
      <c r="B135" s="481">
        <f>'Расчет базового уровня'!B135</f>
        <v>1950</v>
      </c>
      <c r="C135" s="481">
        <f>'Расчет базового уровня'!C135</f>
        <v>0.75076923076923086</v>
      </c>
      <c r="D135" s="481">
        <v>1</v>
      </c>
      <c r="E135" s="483">
        <f t="shared" ref="E135:E141" si="1">IF(C135=0,0,B135/C135*D135)</f>
        <v>2597.3360655737702</v>
      </c>
      <c r="F135" s="484">
        <f t="shared" ref="F135:F143" si="2">E135*(20-$D$145)</f>
        <v>148048.15573770489</v>
      </c>
      <c r="G135" s="483">
        <f t="shared" ref="G135:R135" si="3">$E$135*0.024*G$147</f>
        <v>66958.284836065563</v>
      </c>
      <c r="H135" s="483">
        <f t="shared" si="3"/>
        <v>56813.090163934408</v>
      </c>
      <c r="I135" s="483">
        <f t="shared" si="3"/>
        <v>48870.852049180321</v>
      </c>
      <c r="J135" s="483">
        <f t="shared" si="3"/>
        <v>18532.512295081964</v>
      </c>
      <c r="K135" s="483">
        <f t="shared" si="3"/>
        <v>10622.065573770489</v>
      </c>
      <c r="L135" s="483">
        <f t="shared" si="3"/>
        <v>0</v>
      </c>
      <c r="M135" s="483">
        <f t="shared" si="3"/>
        <v>0</v>
      </c>
      <c r="N135" s="483">
        <f t="shared" si="3"/>
        <v>0</v>
      </c>
      <c r="O135" s="483">
        <f t="shared" si="3"/>
        <v>0</v>
      </c>
      <c r="P135" s="483">
        <f t="shared" si="3"/>
        <v>39664.438524590165</v>
      </c>
      <c r="Q135" s="483">
        <f t="shared" si="3"/>
        <v>61488.295081967211</v>
      </c>
      <c r="R135" s="483">
        <f t="shared" si="3"/>
        <v>59267.261065573766</v>
      </c>
      <c r="S135" s="485"/>
      <c r="T135" s="74"/>
      <c r="U135" s="74"/>
      <c r="V135" s="74"/>
      <c r="W135" s="74"/>
      <c r="X135" s="74"/>
      <c r="Y135" s="74"/>
      <c r="Z135" s="74"/>
      <c r="AA135" s="74"/>
      <c r="AB135" s="74"/>
    </row>
    <row r="136" spans="1:55" x14ac:dyDescent="0.25">
      <c r="A136" s="480" t="s">
        <v>612</v>
      </c>
      <c r="B136" s="481">
        <f>'Расчет базового уровня'!B136</f>
        <v>72</v>
      </c>
      <c r="C136" s="481">
        <f>IF('Список мероприятий'!AB14=1,VLOOKUP('Список мероприятий'!D15,'Библиотека технологий'!A40:B47,2,0),'Расчет базового уровня'!C136)</f>
        <v>0.55000000000000004</v>
      </c>
      <c r="D136" s="481">
        <v>1</v>
      </c>
      <c r="E136" s="483">
        <f t="shared" si="1"/>
        <v>130.90909090909091</v>
      </c>
      <c r="F136" s="484">
        <f t="shared" si="2"/>
        <v>7461.818181818182</v>
      </c>
      <c r="G136" s="483">
        <f t="shared" ref="G136:R136" si="4">$E$136*0.024*G$147</f>
        <v>3374.7839999999992</v>
      </c>
      <c r="H136" s="483">
        <f t="shared" si="4"/>
        <v>2863.4530909090904</v>
      </c>
      <c r="I136" s="483">
        <f t="shared" si="4"/>
        <v>2463.1540363636364</v>
      </c>
      <c r="J136" s="483">
        <f t="shared" si="4"/>
        <v>934.06254545454544</v>
      </c>
      <c r="K136" s="483">
        <f t="shared" si="4"/>
        <v>535.3658181818181</v>
      </c>
      <c r="L136" s="483">
        <f t="shared" si="4"/>
        <v>0</v>
      </c>
      <c r="M136" s="483">
        <f t="shared" si="4"/>
        <v>0</v>
      </c>
      <c r="N136" s="483">
        <f t="shared" si="4"/>
        <v>0</v>
      </c>
      <c r="O136" s="483">
        <f t="shared" si="4"/>
        <v>0</v>
      </c>
      <c r="P136" s="483">
        <f t="shared" si="4"/>
        <v>1999.1389090909092</v>
      </c>
      <c r="Q136" s="483">
        <f t="shared" si="4"/>
        <v>3099.0894545454548</v>
      </c>
      <c r="R136" s="483">
        <f t="shared" si="4"/>
        <v>2987.1464727272728</v>
      </c>
      <c r="S136" s="485"/>
      <c r="T136" s="74"/>
      <c r="U136" s="74"/>
      <c r="V136" s="74"/>
      <c r="W136" s="74"/>
      <c r="X136" s="74"/>
      <c r="Y136" s="74"/>
      <c r="Z136" s="74"/>
      <c r="AA136" s="74"/>
      <c r="AB136" s="74"/>
    </row>
    <row r="137" spans="1:55" x14ac:dyDescent="0.25">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25">
      <c r="A138" s="480" t="s">
        <v>1329</v>
      </c>
      <c r="B138" s="481">
        <f>'Расчет базового уровня'!B138</f>
        <v>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0</v>
      </c>
      <c r="F138" s="484">
        <f t="shared" si="2"/>
        <v>0</v>
      </c>
      <c r="G138" s="483">
        <f t="shared" ref="G138:R138" si="5">$E$138*0.024*G$147</f>
        <v>0</v>
      </c>
      <c r="H138" s="483">
        <f t="shared" si="5"/>
        <v>0</v>
      </c>
      <c r="I138" s="483">
        <f t="shared" si="5"/>
        <v>0</v>
      </c>
      <c r="J138" s="483">
        <f t="shared" si="5"/>
        <v>0</v>
      </c>
      <c r="K138" s="483">
        <f t="shared" si="5"/>
        <v>0</v>
      </c>
      <c r="L138" s="483">
        <f t="shared" si="5"/>
        <v>0</v>
      </c>
      <c r="M138" s="483">
        <f t="shared" si="5"/>
        <v>0</v>
      </c>
      <c r="N138" s="483">
        <f t="shared" si="5"/>
        <v>0</v>
      </c>
      <c r="O138" s="483">
        <f t="shared" si="5"/>
        <v>0</v>
      </c>
      <c r="P138" s="483">
        <f t="shared" si="5"/>
        <v>0</v>
      </c>
      <c r="Q138" s="483">
        <f t="shared" si="5"/>
        <v>0</v>
      </c>
      <c r="R138" s="483">
        <f t="shared" si="5"/>
        <v>0</v>
      </c>
      <c r="S138" s="485"/>
      <c r="T138" s="74"/>
      <c r="U138" s="74"/>
      <c r="V138" s="74"/>
      <c r="W138" s="74"/>
      <c r="X138" s="74"/>
      <c r="Y138" s="74"/>
      <c r="Z138" s="74"/>
      <c r="AA138" s="74"/>
      <c r="AB138" s="74"/>
    </row>
    <row r="139" spans="1:55" x14ac:dyDescent="0.25">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1.0919540229885059</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0.9</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25">
      <c r="A140" s="480" t="s">
        <v>1331</v>
      </c>
      <c r="B140" s="481">
        <f>'Расчет базового уровня'!B140+'Расчет базового уровня'!B139-'Расчет после реализации'!B139</f>
        <v>1460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1.0919540229885059</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0.9</v>
      </c>
      <c r="E140" s="483">
        <f>IF(C140=0,0,B140/C140*D140)</f>
        <v>1203.3473684210526</v>
      </c>
      <c r="F140" s="484">
        <f t="shared" si="2"/>
        <v>68590.8</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2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1.0919540229885059</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x14ac:dyDescent="0.25">
      <c r="A142" s="480" t="s">
        <v>1328</v>
      </c>
      <c r="B142" s="481">
        <f>'Расчет базового уровня'!B142</f>
        <v>1460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0.65517241379310354</v>
      </c>
      <c r="D142" s="486">
        <f>('Ввод исходных данных'!D83-'Расчет базового уровня'!$D$160)/('Ввод исходных данных'!D83-'Расчет базового уровня'!$D$145)</f>
        <v>0.31578947368421051</v>
      </c>
      <c r="E142" s="483">
        <f>IF(C142=0,0,B142/C142*D142)</f>
        <v>703.71191135734057</v>
      </c>
      <c r="F142" s="484">
        <f t="shared" si="2"/>
        <v>40111.578947368413</v>
      </c>
      <c r="G142" s="483">
        <f t="shared" ref="G142:R142" si="8">$E$142*0.024*G$147</f>
        <v>18141.411590027696</v>
      </c>
      <c r="H142" s="483">
        <f t="shared" si="8"/>
        <v>15392.712864265923</v>
      </c>
      <c r="I142" s="483">
        <f t="shared" si="8"/>
        <v>13240.874433240995</v>
      </c>
      <c r="J142" s="483">
        <f t="shared" si="8"/>
        <v>5021.1252299168973</v>
      </c>
      <c r="K142" s="483">
        <f t="shared" si="8"/>
        <v>2877.90023268698</v>
      </c>
      <c r="L142" s="483">
        <f t="shared" si="8"/>
        <v>0</v>
      </c>
      <c r="M142" s="483">
        <f t="shared" si="8"/>
        <v>0</v>
      </c>
      <c r="N142" s="483">
        <f t="shared" si="8"/>
        <v>0</v>
      </c>
      <c r="O142" s="483">
        <f t="shared" si="8"/>
        <v>0</v>
      </c>
      <c r="P142" s="483">
        <f t="shared" si="8"/>
        <v>10746.525340720222</v>
      </c>
      <c r="Q142" s="483">
        <f t="shared" si="8"/>
        <v>16659.394304709142</v>
      </c>
      <c r="R142" s="483">
        <f t="shared" si="8"/>
        <v>16057.63617506925</v>
      </c>
      <c r="S142" s="485"/>
      <c r="T142" s="74"/>
      <c r="U142" s="74"/>
      <c r="V142" s="74"/>
      <c r="W142" s="74"/>
      <c r="X142" s="74"/>
      <c r="Y142" s="74"/>
      <c r="Z142" s="74"/>
      <c r="AA142" s="74"/>
      <c r="AB142" s="74"/>
    </row>
    <row r="143" spans="1:55" x14ac:dyDescent="0.25">
      <c r="A143" s="480" t="s">
        <v>1231</v>
      </c>
      <c r="B143" s="481">
        <f>'Расчет базового уровня'!B143</f>
        <v>12</v>
      </c>
      <c r="C143" s="481">
        <f>IF('Список мероприятий'!AB73=1,0.95,'Расчет базового уровня'!C143)</f>
        <v>0.5</v>
      </c>
      <c r="D143" s="486">
        <v>1</v>
      </c>
      <c r="E143" s="483">
        <f>IF(C143=0,0,B143/C143*D143)</f>
        <v>24</v>
      </c>
      <c r="F143" s="484">
        <f t="shared" si="2"/>
        <v>1368</v>
      </c>
      <c r="G143" s="483">
        <f>$E$143*0.024*G$147</f>
        <v>618.71040000000005</v>
      </c>
      <c r="H143" s="483">
        <f t="shared" ref="H143:R143" si="9">$E$143*0.024*H$147</f>
        <v>524.96640000000002</v>
      </c>
      <c r="I143" s="483">
        <f t="shared" si="9"/>
        <v>451.57824000000005</v>
      </c>
      <c r="J143" s="483">
        <f t="shared" si="9"/>
        <v>171.24480000000003</v>
      </c>
      <c r="K143" s="483">
        <f t="shared" si="9"/>
        <v>98.150400000000005</v>
      </c>
      <c r="L143" s="483">
        <f t="shared" si="9"/>
        <v>0</v>
      </c>
      <c r="M143" s="483">
        <f t="shared" si="9"/>
        <v>0</v>
      </c>
      <c r="N143" s="483">
        <f t="shared" si="9"/>
        <v>0</v>
      </c>
      <c r="O143" s="483">
        <f t="shared" si="9"/>
        <v>0</v>
      </c>
      <c r="P143" s="483">
        <f t="shared" si="9"/>
        <v>366.50880000000006</v>
      </c>
      <c r="Q143" s="483">
        <f t="shared" si="9"/>
        <v>568.16640000000007</v>
      </c>
      <c r="R143" s="483">
        <f t="shared" si="9"/>
        <v>547.64352000000008</v>
      </c>
      <c r="S143" s="485"/>
      <c r="T143" s="74"/>
      <c r="U143" s="74"/>
      <c r="V143" s="74"/>
      <c r="W143" s="74"/>
      <c r="X143" s="74"/>
      <c r="Y143" s="74"/>
      <c r="Z143" s="74"/>
      <c r="AA143" s="74"/>
      <c r="AB143" s="74"/>
    </row>
    <row r="144" spans="1:55" x14ac:dyDescent="0.25">
      <c r="A144" s="480" t="s">
        <v>515</v>
      </c>
      <c r="B144" s="481">
        <f>SUM(B134:B142)</f>
        <v>10908</v>
      </c>
      <c r="C144" s="481"/>
      <c r="D144" s="481"/>
      <c r="E144" s="483">
        <f>SUM(E134:E143)</f>
        <v>8908.7711029279199</v>
      </c>
      <c r="F144" s="484">
        <f>E144*(20-$D$145)/1000</f>
        <v>507.79995286689143</v>
      </c>
      <c r="G144" s="483">
        <f>SUM(G134:G143)</f>
        <v>198642.74170609322</v>
      </c>
      <c r="H144" s="483">
        <f t="shared" ref="H144:R144" si="10">SUM(H134:H143)</f>
        <v>168545.35659910939</v>
      </c>
      <c r="I144" s="483">
        <f t="shared" si="10"/>
        <v>144983.40368678494</v>
      </c>
      <c r="J144" s="483">
        <f t="shared" si="10"/>
        <v>54979.739430453403</v>
      </c>
      <c r="K144" s="483">
        <f t="shared" si="10"/>
        <v>31512.100904639279</v>
      </c>
      <c r="L144" s="483">
        <f t="shared" si="10"/>
        <v>0</v>
      </c>
      <c r="M144" s="483">
        <f t="shared" si="10"/>
        <v>0</v>
      </c>
      <c r="N144" s="483">
        <f t="shared" si="10"/>
        <v>0</v>
      </c>
      <c r="O144" s="483">
        <f t="shared" si="10"/>
        <v>0</v>
      </c>
      <c r="P144" s="483">
        <f t="shared" si="10"/>
        <v>117671.06693440129</v>
      </c>
      <c r="Q144" s="483">
        <f t="shared" si="10"/>
        <v>182415.11932122178</v>
      </c>
      <c r="R144" s="483">
        <f t="shared" si="10"/>
        <v>175826.05737737031</v>
      </c>
      <c r="S144" s="485"/>
      <c r="T144" s="74"/>
      <c r="U144" s="74"/>
      <c r="V144" s="74"/>
      <c r="W144" s="74"/>
      <c r="X144" s="74"/>
      <c r="Y144" s="74"/>
      <c r="Z144" s="74"/>
      <c r="AA144" s="74"/>
      <c r="AB144" s="74"/>
    </row>
    <row r="145" spans="1:28" x14ac:dyDescent="0.25">
      <c r="A145" s="74"/>
      <c r="B145" s="488" t="s">
        <v>742</v>
      </c>
      <c r="C145" s="489" t="s">
        <v>747</v>
      </c>
      <c r="D145" s="481">
        <f>VLOOKUP(CONCATENATE('Ввод исходных данных'!$D$10,'Ввод исходных данных'!$D$11),Климатология!$D$9:$BF$548,4,0)</f>
        <v>-37</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88" t="s">
        <v>1405</v>
      </c>
      <c r="C146" s="489" t="s">
        <v>748</v>
      </c>
      <c r="D146" s="481">
        <f>'Ввод исходных данных'!D246</f>
        <v>231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30</v>
      </c>
      <c r="K146" s="490">
        <f>'Ввод исходных данных'!$I$256</f>
        <v>20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30</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25">
      <c r="A147" s="74"/>
      <c r="B147" s="488" t="s">
        <v>462</v>
      </c>
      <c r="C147" s="489" t="s">
        <v>749</v>
      </c>
      <c r="D147" s="481">
        <f>'Ввод исходных данных'!G264</f>
        <v>5810.71</v>
      </c>
      <c r="E147" s="74"/>
      <c r="F147" s="74"/>
      <c r="G147" s="490">
        <f>'Ввод исходных данных'!$G$252</f>
        <v>1074.1499999999999</v>
      </c>
      <c r="H147" s="490">
        <f>'Ввод исходных данных'!$G$253</f>
        <v>911.39999999999986</v>
      </c>
      <c r="I147" s="490">
        <f>'Ввод исходных данных'!$G$254</f>
        <v>783.99</v>
      </c>
      <c r="J147" s="490">
        <f>'Ввод исходных данных'!$G$255</f>
        <v>297.3</v>
      </c>
      <c r="K147" s="490">
        <f>'Ввод исходных данных'!$G$256</f>
        <v>170.39999999999998</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636.30000000000007</v>
      </c>
      <c r="Q147" s="490">
        <f>'Ввод исходных данных'!$G$262</f>
        <v>986.40000000000009</v>
      </c>
      <c r="R147" s="490">
        <f>'Ввод исходных данных'!$G$263</f>
        <v>950.7700000000001</v>
      </c>
      <c r="S147" s="74"/>
      <c r="T147" s="74"/>
      <c r="U147" s="74"/>
      <c r="V147" s="74"/>
      <c r="W147" s="74"/>
      <c r="X147" s="74"/>
      <c r="Y147" s="74"/>
      <c r="Z147" s="74"/>
      <c r="AA147" s="74"/>
      <c r="AB147" s="74"/>
    </row>
    <row r="148" spans="1:28" x14ac:dyDescent="0.25">
      <c r="A148" s="491" t="s">
        <v>497</v>
      </c>
      <c r="B148" s="492" t="s">
        <v>531</v>
      </c>
      <c r="C148" s="493" t="s">
        <v>498</v>
      </c>
      <c r="D148" s="494">
        <f>IF(D149&gt;45,10,IF(D149&lt;=20,17,17-(D149-20)*7/25))</f>
        <v>16.802622950819671</v>
      </c>
      <c r="E148" s="74"/>
      <c r="F148" s="495">
        <f>17*D150/1000</f>
        <v>153</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1" t="s">
        <v>499</v>
      </c>
      <c r="B149" s="492" t="s">
        <v>500</v>
      </c>
      <c r="C149" s="493" t="s">
        <v>501</v>
      </c>
      <c r="D149" s="496">
        <f>'Ввод исходных данных'!G45/'Ввод исходных данных'!$D$22</f>
        <v>20.704918032786885</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6" t="s">
        <v>1403</v>
      </c>
      <c r="B150" s="492" t="s">
        <v>1404</v>
      </c>
      <c r="C150" s="497" t="s">
        <v>492</v>
      </c>
      <c r="D150" s="496">
        <f>'Расчет базового уровня'!D150</f>
        <v>9000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498" t="s">
        <v>512</v>
      </c>
      <c r="B151" s="499" t="s">
        <v>522</v>
      </c>
      <c r="C151" s="497" t="s">
        <v>526</v>
      </c>
      <c r="D151" s="500">
        <v>30</v>
      </c>
      <c r="E151" s="74"/>
      <c r="F151" s="495">
        <f>(D151*D152*'Ввод исходных данных'!$D$22*0.28+D189*0.28)*1.006*0.001*(20+25)+E161*(20+25)</f>
        <v>356.22407438962512</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1" t="s">
        <v>527</v>
      </c>
      <c r="B158" s="492" t="s">
        <v>532</v>
      </c>
      <c r="C158" s="489" t="s">
        <v>746</v>
      </c>
      <c r="D158" s="503">
        <f>IF('Список мероприятий'!AB37=1,1.05,'Расчет базового уровня'!D158)</f>
        <v>1.05</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6" t="s">
        <v>905</v>
      </c>
      <c r="B165" s="507" t="s">
        <v>1474</v>
      </c>
      <c r="C165" s="489" t="s">
        <v>906</v>
      </c>
      <c r="D165" s="508">
        <f>D166*365/(D146+D167*(D168-D146))</f>
        <v>96.902654867256643</v>
      </c>
      <c r="E165" s="74"/>
      <c r="F165" s="74"/>
      <c r="G165" s="508">
        <f>'Расчет базового уровня'!G167</f>
        <v>97.189349112426029</v>
      </c>
      <c r="H165" s="508">
        <f>'Расчет базового уровня'!H167</f>
        <v>97.189349112426029</v>
      </c>
      <c r="I165" s="508">
        <f>'Расчет базового уровня'!I167</f>
        <v>97.189349112426029</v>
      </c>
      <c r="J165" s="508">
        <f>'Расчет базового уровня'!J167</f>
        <v>97.189349112426029</v>
      </c>
      <c r="K165" s="508">
        <f>'Расчет базового уровня'!K167</f>
        <v>87.470414201183431</v>
      </c>
      <c r="L165" s="508">
        <f>'Расчет базового уровня'!L167</f>
        <v>87.470414201183431</v>
      </c>
      <c r="M165" s="508">
        <f>'Расчет базового уровня'!M167</f>
        <v>87.470414201183431</v>
      </c>
      <c r="N165" s="508">
        <f>'Расчет базового уровня'!N167</f>
        <v>87.470414201183431</v>
      </c>
      <c r="O165" s="508">
        <f>'Расчет базового уровня'!O167</f>
        <v>87.470414201183431</v>
      </c>
      <c r="P165" s="508">
        <f>'Расчет базового уровня'!P167</f>
        <v>97.189349112426029</v>
      </c>
      <c r="Q165" s="508">
        <f>'Расчет базового уровня'!Q167</f>
        <v>97.189349112426029</v>
      </c>
      <c r="R165" s="508">
        <f>'Расчет базового уровня'!R167</f>
        <v>97.189349112426029</v>
      </c>
      <c r="S165" s="74"/>
      <c r="T165" s="74"/>
      <c r="U165" s="74"/>
      <c r="V165" s="74"/>
      <c r="W165" s="74"/>
      <c r="X165" s="74"/>
    </row>
    <row r="166" spans="1:31" ht="15.75" customHeight="1" x14ac:dyDescent="0.25">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25">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25">
      <c r="A169" s="506" t="s">
        <v>908</v>
      </c>
      <c r="B169" s="507" t="s">
        <v>547</v>
      </c>
      <c r="C169" s="489" t="s">
        <v>559</v>
      </c>
      <c r="D169" s="512">
        <f>D165*'Ввод исходных данных'!$D$22/24/1000</f>
        <v>2.4629424778761062</v>
      </c>
      <c r="E169" s="74"/>
      <c r="F169" s="74"/>
      <c r="G169" s="512">
        <f>G165*'Ввод исходных данных'!$D$22/24/1000</f>
        <v>2.470229289940828</v>
      </c>
      <c r="H169" s="512">
        <f>H165*'Ввод исходных данных'!$D$22/24/1000</f>
        <v>2.470229289940828</v>
      </c>
      <c r="I169" s="512">
        <f>I165*'Ввод исходных данных'!$D$22/24/1000</f>
        <v>2.470229289940828</v>
      </c>
      <c r="J169" s="512">
        <f>J165*'Ввод исходных данных'!$D$22/24/1000</f>
        <v>2.470229289940828</v>
      </c>
      <c r="K169" s="512">
        <f>K165*'Ввод исходных данных'!$D$22/24/1000</f>
        <v>2.2232063609467456</v>
      </c>
      <c r="L169" s="512">
        <f>L165*'Ввод исходных данных'!$D$22/24/1000</f>
        <v>2.2232063609467456</v>
      </c>
      <c r="M169" s="512">
        <f>M165*'Ввод исходных данных'!$D$22/24/1000</f>
        <v>2.2232063609467456</v>
      </c>
      <c r="N169" s="512">
        <f>N165*'Ввод исходных данных'!$D$22/24/1000</f>
        <v>2.2232063609467456</v>
      </c>
      <c r="O169" s="512">
        <f>O165*'Ввод исходных данных'!$D$22/24/1000</f>
        <v>2.2232063609467456</v>
      </c>
      <c r="P169" s="512">
        <f>P165*'Ввод исходных данных'!$D$22/24/1000</f>
        <v>2.470229289940828</v>
      </c>
      <c r="Q169" s="512">
        <f>Q165*'Ввод исходных данных'!$D$22/24/1000</f>
        <v>2.470229289940828</v>
      </c>
      <c r="R169" s="512">
        <f>R165*'Ввод исходных данных'!$D$22/24/1000</f>
        <v>2.470229289940828</v>
      </c>
      <c r="S169" s="74"/>
      <c r="T169" s="74"/>
      <c r="U169" s="74"/>
      <c r="V169" s="74"/>
      <c r="W169" s="74"/>
      <c r="X169" s="74"/>
    </row>
    <row r="170" spans="1:31" ht="15.75" customHeight="1" x14ac:dyDescent="0.25">
      <c r="A170" s="506" t="s">
        <v>909</v>
      </c>
      <c r="B170" s="507" t="s">
        <v>548</v>
      </c>
      <c r="C170" s="489" t="s">
        <v>559</v>
      </c>
      <c r="D170" s="512">
        <f>D169*'Система электроснабжения'!$C$55</f>
        <v>9.2265799323794528</v>
      </c>
      <c r="E170" s="74"/>
      <c r="F170" s="74"/>
      <c r="G170" s="512">
        <f>G169*'Система электроснабжения'!$C$55</f>
        <v>9.2538775061438869</v>
      </c>
      <c r="H170" s="512">
        <f>H169*'Система электроснабжения'!$C$55</f>
        <v>9.2538775061438869</v>
      </c>
      <c r="I170" s="512">
        <f>I169*'Система электроснабжения'!$C$55</f>
        <v>9.2538775061438869</v>
      </c>
      <c r="J170" s="512">
        <f>J169*'Система электроснабжения'!$C$55</f>
        <v>9.2538775061438869</v>
      </c>
      <c r="K170" s="512">
        <f>K169*'Система электроснабжения'!$C$55</f>
        <v>8.3284897555294997</v>
      </c>
      <c r="L170" s="512">
        <f>L169*'Система электроснабжения'!$C$55</f>
        <v>8.3284897555294997</v>
      </c>
      <c r="M170" s="512">
        <f>M169*'Система электроснабжения'!$C$55</f>
        <v>8.3284897555294997</v>
      </c>
      <c r="N170" s="512">
        <f>N169*'Система электроснабжения'!$C$55</f>
        <v>8.3284897555294997</v>
      </c>
      <c r="O170" s="512">
        <f>O169*'Система электроснабжения'!$C$55</f>
        <v>8.3284897555294997</v>
      </c>
      <c r="P170" s="512">
        <f>P169*'Система электроснабжения'!$C$55</f>
        <v>9.2538775061438869</v>
      </c>
      <c r="Q170" s="512">
        <f>Q169*'Система электроснабжения'!$C$55</f>
        <v>9.2538775061438869</v>
      </c>
      <c r="R170" s="512">
        <f>R169*'Система электроснабжения'!$C$55</f>
        <v>9.2538775061438869</v>
      </c>
      <c r="S170" s="74"/>
      <c r="T170" s="74"/>
      <c r="U170" s="74"/>
      <c r="V170" s="74"/>
      <c r="W170" s="74"/>
      <c r="X170" s="74"/>
    </row>
    <row r="171" spans="1:31" ht="15.75" customHeight="1" x14ac:dyDescent="0.25">
      <c r="A171" s="506" t="s">
        <v>910</v>
      </c>
      <c r="B171" s="507" t="s">
        <v>551</v>
      </c>
      <c r="C171" s="489" t="s">
        <v>513</v>
      </c>
      <c r="D171" s="513">
        <f xml:space="preserve"> (D165*(D172-D173)*(1+D174)*1*D175)/(3.6*24*D176)</f>
        <v>16.192500921828909</v>
      </c>
      <c r="E171" s="74"/>
      <c r="F171" s="74"/>
      <c r="G171" s="513">
        <f xml:space="preserve"> (G165*($D$172-$D$173)*(1+$D$174)*1*$D$175)/(3.6*24*$D$176)</f>
        <v>16.240407729289942</v>
      </c>
      <c r="H171" s="513">
        <f t="shared" ref="H171:R171" si="11" xml:space="preserve"> (H165*($D$172-$D$173)*(1+$D$174)*1*$D$175)/(3.6*24*$D$176)</f>
        <v>16.240407729289942</v>
      </c>
      <c r="I171" s="513">
        <f t="shared" si="11"/>
        <v>16.240407729289942</v>
      </c>
      <c r="J171" s="513">
        <f t="shared" si="11"/>
        <v>16.240407729289942</v>
      </c>
      <c r="K171" s="513">
        <f t="shared" si="11"/>
        <v>14.616366956360947</v>
      </c>
      <c r="L171" s="513">
        <f t="shared" si="11"/>
        <v>14.616366956360947</v>
      </c>
      <c r="M171" s="513">
        <f t="shared" si="11"/>
        <v>14.616366956360947</v>
      </c>
      <c r="N171" s="513">
        <f t="shared" si="11"/>
        <v>14.616366956360947</v>
      </c>
      <c r="O171" s="513">
        <f t="shared" si="11"/>
        <v>14.616366956360947</v>
      </c>
      <c r="P171" s="513">
        <f t="shared" si="11"/>
        <v>16.240407729289942</v>
      </c>
      <c r="Q171" s="513">
        <f t="shared" si="11"/>
        <v>16.240407729289942</v>
      </c>
      <c r="R171" s="513">
        <f t="shared" si="11"/>
        <v>16.240407729289942</v>
      </c>
      <c r="S171" s="74"/>
      <c r="T171" s="74"/>
      <c r="U171" s="74"/>
      <c r="V171" s="74"/>
      <c r="W171" s="74"/>
      <c r="X171" s="74"/>
    </row>
    <row r="172" spans="1:31" ht="15.75" customHeight="1" x14ac:dyDescent="0.25">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8.4188034188034191</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0" t="s">
        <v>914</v>
      </c>
      <c r="B177" s="515" t="s">
        <v>750</v>
      </c>
      <c r="C177" s="489" t="s">
        <v>562</v>
      </c>
      <c r="D177" s="508">
        <f>'Расчет базового уровня'!D179</f>
        <v>20.704918032786885</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25">
      <c r="A179" s="510" t="s">
        <v>1572</v>
      </c>
      <c r="B179" s="515" t="s">
        <v>1573</v>
      </c>
      <c r="C179" s="489" t="s">
        <v>1579</v>
      </c>
      <c r="D179" s="508">
        <f>0.28*'Ввод исходных данных'!$G$49*(D181-D182)+0.03*D181*Климатология!$H$2^2</f>
        <v>19.194841240882983</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0" t="s">
        <v>1575</v>
      </c>
      <c r="B180" s="515" t="s">
        <v>1574</v>
      </c>
      <c r="C180" s="489" t="s">
        <v>1579</v>
      </c>
      <c r="D180" s="508">
        <f>0.55*('Ввод исходных данных'!$G$49-1)*(D181-D182)+0.03*D181*Климатология!$H$2^2</f>
        <v>28.660616399774817</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0" t="s">
        <v>1576</v>
      </c>
      <c r="B181" s="515"/>
      <c r="C181" s="489" t="s">
        <v>1580</v>
      </c>
      <c r="D181" s="508">
        <f>3463/(273+Климатология!$F$2)</f>
        <v>13.072857682144207</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0" t="s">
        <v>1571</v>
      </c>
      <c r="B183" s="515"/>
      <c r="C183" s="489" t="s">
        <v>1581</v>
      </c>
      <c r="D183" s="517">
        <f>IF('Список мероприятий'!AB14=1,0.86,'Расчет базового уровня'!D185)</f>
        <v>0.86</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0" t="s">
        <v>1569</v>
      </c>
      <c r="B185" s="515"/>
      <c r="C185" s="489" t="s">
        <v>1582</v>
      </c>
      <c r="D185" s="508">
        <f>(B136/D183)*(D179/10)^(2/3)</f>
        <v>129.30750384376213</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0" t="s">
        <v>1568</v>
      </c>
      <c r="B186" s="515"/>
      <c r="C186" s="489" t="s">
        <v>1582</v>
      </c>
      <c r="D186" s="508">
        <f>(B143/D184)*(D180/10)^(1/2)</f>
        <v>145.10954274530991</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0" t="s">
        <v>1567</v>
      </c>
      <c r="B187" s="515"/>
      <c r="C187" s="489" t="s">
        <v>1582</v>
      </c>
      <c r="D187" s="508">
        <f>D185+D186</f>
        <v>274.41704658907202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0" t="s">
        <v>1566</v>
      </c>
      <c r="B188" s="515"/>
      <c r="C188" s="489" t="s">
        <v>496</v>
      </c>
      <c r="D188" s="508">
        <f>0.024*D185*'Расчет базового уровня'!$D$147*0.28</f>
        <v>5396.2441990473908</v>
      </c>
      <c r="E188" s="74"/>
      <c r="F188" s="74"/>
      <c r="G188" s="508">
        <f>0.024*$D$185*G$147*0.28</f>
        <v>933.37880330538201</v>
      </c>
      <c r="H188" s="508">
        <f t="shared" ref="H188:R188" si="12">0.024*$D$185*H$147*0.28</f>
        <v>791.9577725015364</v>
      </c>
      <c r="I188" s="508">
        <f t="shared" si="12"/>
        <v>681.24530838652572</v>
      </c>
      <c r="J188" s="508">
        <f t="shared" si="12"/>
        <v>258.33777239928327</v>
      </c>
      <c r="K188" s="508">
        <f t="shared" si="12"/>
        <v>148.06847096144591</v>
      </c>
      <c r="L188" s="508">
        <f t="shared" si="12"/>
        <v>0</v>
      </c>
      <c r="M188" s="508">
        <f t="shared" si="12"/>
        <v>0</v>
      </c>
      <c r="N188" s="508">
        <f t="shared" si="12"/>
        <v>0</v>
      </c>
      <c r="O188" s="508">
        <f t="shared" si="12"/>
        <v>0</v>
      </c>
      <c r="P188" s="508">
        <f t="shared" si="12"/>
        <v>552.91061075568109</v>
      </c>
      <c r="Q188" s="508">
        <f t="shared" si="12"/>
        <v>857.12875443879273</v>
      </c>
      <c r="R188" s="508">
        <f t="shared" si="12"/>
        <v>826.16819328646693</v>
      </c>
      <c r="S188" s="74"/>
      <c r="T188" s="74"/>
      <c r="U188" s="74"/>
      <c r="V188" s="74"/>
      <c r="W188" s="74"/>
      <c r="X188" s="74"/>
    </row>
    <row r="189" spans="1:26" x14ac:dyDescent="0.25">
      <c r="A189" s="510" t="s">
        <v>1565</v>
      </c>
      <c r="B189" s="515"/>
      <c r="C189" s="489" t="s">
        <v>496</v>
      </c>
      <c r="D189" s="508">
        <f>0.024*D186*'Расчет базового уровня'!$D$147*0.28</f>
        <v>6055.6928638258032</v>
      </c>
      <c r="E189" s="74"/>
      <c r="F189" s="74"/>
      <c r="G189" s="508">
        <f>0.024*$D$186*G$147*0.28</f>
        <v>1047.4424710839576</v>
      </c>
      <c r="H189" s="508">
        <f t="shared" ref="H189:R189" si="13">0.024*$D$186*H$147*0.28</f>
        <v>888.73906637426694</v>
      </c>
      <c r="I189" s="508">
        <f t="shared" si="13"/>
        <v>764.49697240153796</v>
      </c>
      <c r="J189" s="508">
        <f t="shared" si="13"/>
        <v>289.90797063097386</v>
      </c>
      <c r="K189" s="508">
        <f t="shared" si="13"/>
        <v>166.1631960831414</v>
      </c>
      <c r="L189" s="508">
        <f t="shared" si="13"/>
        <v>0</v>
      </c>
      <c r="M189" s="508">
        <f t="shared" si="13"/>
        <v>0</v>
      </c>
      <c r="N189" s="508">
        <f t="shared" si="13"/>
        <v>0</v>
      </c>
      <c r="O189" s="508">
        <f t="shared" si="13"/>
        <v>0</v>
      </c>
      <c r="P189" s="508">
        <f t="shared" si="13"/>
        <v>620.47911776820968</v>
      </c>
      <c r="Q189" s="508">
        <f t="shared" si="13"/>
        <v>961.87427591790345</v>
      </c>
      <c r="R189" s="508">
        <f t="shared" si="13"/>
        <v>927.13017570403997</v>
      </c>
      <c r="S189" s="74"/>
      <c r="T189" s="74"/>
      <c r="U189" s="74"/>
      <c r="V189" s="74"/>
      <c r="W189" s="74"/>
      <c r="X189" s="74"/>
    </row>
    <row r="190" spans="1:26" x14ac:dyDescent="0.25">
      <c r="A190" s="510" t="s">
        <v>1564</v>
      </c>
      <c r="B190" s="515"/>
      <c r="C190" s="489" t="s">
        <v>496</v>
      </c>
      <c r="D190" s="508">
        <f>0.024*D187*'Расчет базового уровня'!$D$147*0.28</f>
        <v>11451.937062873192</v>
      </c>
      <c r="E190" s="74"/>
      <c r="F190" s="74"/>
      <c r="G190" s="508">
        <f>0.024*$D$187*G$147*0.28</f>
        <v>1980.8212743893394</v>
      </c>
      <c r="H190" s="508">
        <f t="shared" ref="H190:R190" si="14">0.024*$D$187*H$147*0.28</f>
        <v>1680.6968388758032</v>
      </c>
      <c r="I190" s="508">
        <f t="shared" si="14"/>
        <v>1445.7422807880637</v>
      </c>
      <c r="J190" s="508">
        <f t="shared" si="14"/>
        <v>548.24574303025713</v>
      </c>
      <c r="K190" s="508">
        <f t="shared" si="14"/>
        <v>314.23166704458731</v>
      </c>
      <c r="L190" s="508">
        <f t="shared" si="14"/>
        <v>0</v>
      </c>
      <c r="M190" s="508">
        <f t="shared" si="14"/>
        <v>0</v>
      </c>
      <c r="N190" s="508">
        <f t="shared" si="14"/>
        <v>0</v>
      </c>
      <c r="O190" s="508">
        <f t="shared" si="14"/>
        <v>0</v>
      </c>
      <c r="P190" s="508">
        <f t="shared" si="14"/>
        <v>1173.3897285238904</v>
      </c>
      <c r="Q190" s="508">
        <f t="shared" si="14"/>
        <v>1819.0030303566959</v>
      </c>
      <c r="R190" s="508">
        <f t="shared" si="14"/>
        <v>1753.2983689905066</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40625"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1302</v>
      </c>
      <c r="C2" s="284" t="s">
        <v>1380</v>
      </c>
      <c r="D2" s="284" t="s">
        <v>1303</v>
      </c>
      <c r="E2" s="284" t="s">
        <v>1623</v>
      </c>
      <c r="F2" s="284" t="s">
        <v>1622</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1305</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1620</v>
      </c>
      <c r="D49" s="95" t="s">
        <v>1621</v>
      </c>
      <c r="E49" s="74"/>
      <c r="F49" s="74"/>
      <c r="G49" s="74"/>
      <c r="H49" s="74"/>
      <c r="I49" s="74"/>
      <c r="J49" s="74"/>
      <c r="K49" s="74"/>
    </row>
    <row r="50" spans="1:11" x14ac:dyDescent="0.25">
      <c r="A50" s="95" t="s">
        <v>1541</v>
      </c>
      <c r="B50" s="95" t="s">
        <v>1311</v>
      </c>
      <c r="C50" s="95">
        <v>6000</v>
      </c>
      <c r="D50" s="95">
        <v>5000</v>
      </c>
      <c r="E50" s="74"/>
      <c r="F50" s="74"/>
      <c r="G50" s="74"/>
      <c r="H50" s="74"/>
      <c r="I50" s="74"/>
      <c r="J50" s="74"/>
      <c r="K50" s="74"/>
    </row>
    <row r="51" spans="1:11" x14ac:dyDescent="0.25">
      <c r="A51" s="95" t="s">
        <v>1542</v>
      </c>
      <c r="B51" s="95" t="s">
        <v>1543</v>
      </c>
      <c r="C51" s="95">
        <v>3800</v>
      </c>
      <c r="D51" s="95"/>
      <c r="E51" s="74"/>
      <c r="F51" s="74"/>
      <c r="G51" s="74"/>
      <c r="H51" s="74"/>
      <c r="I51" s="74"/>
      <c r="J51" s="74"/>
      <c r="K51" s="74"/>
    </row>
    <row r="52" spans="1:11" x14ac:dyDescent="0.25">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25">
      <c r="A53" s="95" t="s">
        <v>801</v>
      </c>
      <c r="B53" s="95" t="s">
        <v>858</v>
      </c>
      <c r="C53" s="286">
        <f>2349*('Система электроснабжения'!D34+'Расчет базового уровня'!E172)+1151900</f>
        <v>4439900.4160148688</v>
      </c>
      <c r="D53" s="286">
        <f>C53*0.2+100000</f>
        <v>987980.08320297382</v>
      </c>
      <c r="E53" s="74"/>
      <c r="F53" s="74"/>
      <c r="G53" s="74"/>
      <c r="H53" s="74"/>
      <c r="I53" s="74"/>
      <c r="J53" s="74"/>
      <c r="K53" s="74"/>
    </row>
    <row r="54" spans="1:11" x14ac:dyDescent="0.25">
      <c r="A54" s="95" t="s">
        <v>1615</v>
      </c>
      <c r="B54" s="95" t="s">
        <v>858</v>
      </c>
      <c r="C54" s="286">
        <f>531500+285*'Расчет базового уровня'!E172</f>
        <v>717653.31338296691</v>
      </c>
      <c r="D54" s="95">
        <f>C54*0.2+100000</f>
        <v>243530.66267659338</v>
      </c>
      <c r="E54" s="74"/>
      <c r="F54" s="74"/>
      <c r="G54" s="74"/>
      <c r="H54" s="74"/>
      <c r="I54" s="74"/>
      <c r="J54" s="74"/>
      <c r="K54" s="74"/>
    </row>
    <row r="55" spans="1:11" x14ac:dyDescent="0.25">
      <c r="A55" s="95" t="s">
        <v>1619</v>
      </c>
      <c r="B55" s="95" t="s">
        <v>858</v>
      </c>
      <c r="C55" s="286">
        <f>150121*'Расчет базового уровня'!E173+23232</f>
        <v>107558.83698313462</v>
      </c>
      <c r="D55" s="95"/>
      <c r="E55" s="74"/>
      <c r="F55" s="74"/>
      <c r="G55" s="74"/>
      <c r="H55" s="74"/>
      <c r="I55" s="74"/>
      <c r="J55" s="74"/>
      <c r="K55" s="74"/>
    </row>
    <row r="56" spans="1:11" x14ac:dyDescent="0.25">
      <c r="A56" s="95" t="s">
        <v>1547</v>
      </c>
      <c r="B56" s="95" t="s">
        <v>493</v>
      </c>
      <c r="C56" s="95">
        <v>400</v>
      </c>
      <c r="D56" s="95"/>
      <c r="E56" s="74"/>
      <c r="F56" s="74"/>
      <c r="G56" s="74"/>
      <c r="H56" s="74"/>
      <c r="I56" s="74"/>
      <c r="J56" s="74"/>
      <c r="K56" s="74"/>
    </row>
    <row r="57" spans="1:11" x14ac:dyDescent="0.25">
      <c r="A57" s="95" t="s">
        <v>1548</v>
      </c>
      <c r="B57" s="95" t="s">
        <v>493</v>
      </c>
      <c r="C57" s="95">
        <f>285+91</f>
        <v>376</v>
      </c>
      <c r="D57" s="95"/>
      <c r="E57" s="74"/>
      <c r="F57" s="74"/>
      <c r="G57" s="74"/>
      <c r="H57" s="74"/>
      <c r="I57" s="74"/>
      <c r="J57" s="74"/>
      <c r="K57" s="74"/>
    </row>
    <row r="58" spans="1:11" x14ac:dyDescent="0.25">
      <c r="A58" s="95" t="s">
        <v>1611</v>
      </c>
      <c r="B58" s="95" t="s">
        <v>1311</v>
      </c>
      <c r="C58" s="95">
        <v>650000</v>
      </c>
      <c r="D58" s="95">
        <v>600000</v>
      </c>
      <c r="E58" s="74"/>
      <c r="F58" s="74"/>
      <c r="G58" s="74"/>
      <c r="H58" s="74"/>
      <c r="I58" s="74"/>
      <c r="J58" s="74"/>
      <c r="K58" s="74"/>
    </row>
    <row r="59" spans="1:11" x14ac:dyDescent="0.25">
      <c r="A59" s="95" t="s">
        <v>1545</v>
      </c>
      <c r="B59" s="95" t="s">
        <v>493</v>
      </c>
      <c r="C59" s="95">
        <v>90</v>
      </c>
      <c r="D59" s="95"/>
      <c r="E59" s="74"/>
      <c r="F59" s="74"/>
      <c r="G59" s="74"/>
      <c r="H59" s="74"/>
      <c r="I59" s="74"/>
      <c r="J59" s="74"/>
      <c r="K59" s="74"/>
    </row>
    <row r="60" spans="1:11" x14ac:dyDescent="0.25">
      <c r="A60" s="98" t="s">
        <v>1546</v>
      </c>
      <c r="B60" s="95" t="s">
        <v>1311</v>
      </c>
      <c r="C60" s="95">
        <v>150</v>
      </c>
      <c r="D60" s="95"/>
      <c r="E60" s="74"/>
      <c r="F60" s="74"/>
      <c r="G60" s="74"/>
      <c r="H60" s="74"/>
      <c r="I60" s="74"/>
      <c r="J60" s="74"/>
      <c r="K60" s="74"/>
    </row>
    <row r="61" spans="1:11" x14ac:dyDescent="0.25">
      <c r="A61" s="98" t="s">
        <v>1549</v>
      </c>
      <c r="B61" s="95" t="s">
        <v>1311</v>
      </c>
      <c r="C61" s="98">
        <v>500</v>
      </c>
      <c r="D61" s="95"/>
      <c r="E61" s="74"/>
      <c r="F61" s="74"/>
      <c r="G61" s="74"/>
      <c r="H61" s="74"/>
      <c r="I61" s="74"/>
      <c r="J61" s="74"/>
      <c r="K61" s="74"/>
    </row>
    <row r="62" spans="1:11" x14ac:dyDescent="0.25">
      <c r="A62" s="98" t="s">
        <v>1550</v>
      </c>
      <c r="B62" s="95" t="s">
        <v>1311</v>
      </c>
      <c r="C62" s="98">
        <v>36000</v>
      </c>
      <c r="D62" s="95"/>
      <c r="E62" s="74"/>
      <c r="F62" s="74"/>
      <c r="G62" s="74"/>
      <c r="H62" s="74"/>
      <c r="I62" s="74"/>
      <c r="J62" s="74"/>
      <c r="K62" s="74"/>
    </row>
    <row r="63" spans="1:11" x14ac:dyDescent="0.25">
      <c r="A63" s="98" t="s">
        <v>1613</v>
      </c>
      <c r="B63" s="95" t="s">
        <v>1614</v>
      </c>
      <c r="C63" s="98">
        <v>4000</v>
      </c>
      <c r="D63" s="95"/>
      <c r="E63" s="74"/>
      <c r="F63" s="74"/>
      <c r="G63" s="74"/>
      <c r="H63" s="74"/>
      <c r="I63" s="74"/>
      <c r="J63" s="74"/>
      <c r="K63" s="74"/>
    </row>
    <row r="64" spans="1:11" x14ac:dyDescent="0.25">
      <c r="A64" s="98" t="s">
        <v>1616</v>
      </c>
      <c r="B64" s="95" t="s">
        <v>1617</v>
      </c>
      <c r="C64" s="98">
        <v>400</v>
      </c>
      <c r="D64" s="95"/>
      <c r="E64" s="74" t="s">
        <v>1618</v>
      </c>
      <c r="F64" s="74"/>
      <c r="G64" s="74"/>
      <c r="H64" s="74"/>
      <c r="I64" s="74"/>
      <c r="J64" s="74"/>
      <c r="K64" s="74"/>
    </row>
    <row r="65" spans="1:11" x14ac:dyDescent="0.25">
      <c r="A65" s="98" t="s">
        <v>1551</v>
      </c>
      <c r="B65" s="95" t="s">
        <v>1311</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Крюкля Иван Андреевич</cp:lastModifiedBy>
  <cp:lastPrinted>2017-03-20T11:52:12Z</cp:lastPrinted>
  <dcterms:created xsi:type="dcterms:W3CDTF">2016-10-10T08:58:27Z</dcterms:created>
  <dcterms:modified xsi:type="dcterms:W3CDTF">2017-07-24T04:10:59Z</dcterms:modified>
  <cp:category>Приложение</cp:category>
</cp:coreProperties>
</file>