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workbookProtection workbookPassword="EDC7" lockStructure="1"/>
  <bookViews>
    <workbookView xWindow="0" yWindow="0" windowWidth="28800" windowHeight="10545" tabRatio="839" activeTab="5"/>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BA12" i="24"/>
  <c r="BB12" i="24"/>
  <c r="BC12" i="24"/>
  <c r="BD12" i="24"/>
  <c r="BE12" i="24"/>
  <c r="BF12" i="24"/>
  <c r="BG12" i="24"/>
  <c r="AT12" i="24"/>
  <c r="E12" i="24"/>
  <c r="G12" i="24"/>
  <c r="H12" i="24"/>
  <c r="I12" i="24"/>
  <c r="K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K278" i="5"/>
  <c r="K280" i="5"/>
  <c r="K279" i="5"/>
  <c r="D211" i="5"/>
  <c r="D185" i="5" l="1"/>
  <c r="M122" i="31" s="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D13" i="5"/>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J274" i="5" s="1"/>
  <c r="AK12" i="4"/>
  <c r="AL24" i="4" s="1"/>
  <c r="C298" i="5"/>
  <c r="C297" i="5"/>
  <c r="C295" i="5"/>
  <c r="C293" i="5"/>
  <c r="B270" i="5"/>
  <c r="B213" i="5"/>
  <c r="E173" i="5"/>
  <c r="E179" i="5"/>
  <c r="E159" i="5"/>
  <c r="C114" i="5"/>
  <c r="C232" i="5"/>
  <c r="F56" i="5"/>
  <c r="F206" i="5" l="1"/>
  <c r="I275" i="5"/>
  <c r="K275" i="5" s="1"/>
  <c r="I279" i="5"/>
  <c r="I283" i="5"/>
  <c r="I274" i="5"/>
  <c r="K274" i="5" s="1"/>
  <c r="I278" i="5"/>
  <c r="I282" i="5"/>
  <c r="F208" i="5"/>
  <c r="I277" i="5"/>
  <c r="I281" i="5"/>
  <c r="I276" i="5"/>
  <c r="F209" i="5" s="1"/>
  <c r="I280" i="5"/>
  <c r="I284" i="5"/>
  <c r="C296" i="5"/>
  <c r="C224" i="5"/>
  <c r="C299" i="5"/>
  <c r="C241" i="5"/>
  <c r="C300" i="5"/>
  <c r="C247" i="5"/>
  <c r="C301" i="5"/>
  <c r="C256" i="5"/>
  <c r="Q253" i="5"/>
  <c r="R253" i="5"/>
  <c r="C291" i="5"/>
  <c r="C292" i="5"/>
  <c r="C294"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I273" i="5" s="1"/>
  <c r="E172" i="5"/>
  <c r="G274" i="5"/>
  <c r="C226" i="5"/>
  <c r="C245" i="5"/>
  <c r="C262" i="5"/>
  <c r="C259" i="5"/>
  <c r="C240" i="5"/>
  <c r="C236" i="5"/>
  <c r="C253" i="5"/>
  <c r="C290" i="5"/>
  <c r="F76" i="5"/>
  <c r="M274" i="5" l="1"/>
  <c r="K273" i="5"/>
  <c r="M273" i="5"/>
  <c r="G273" i="5"/>
  <c r="K284" i="5"/>
  <c r="M284" i="5"/>
  <c r="G284" i="5"/>
  <c r="C133" i="5"/>
  <c r="K276" i="5"/>
  <c r="G276" i="5"/>
  <c r="M276" i="5"/>
  <c r="K281" i="5"/>
  <c r="G281" i="5"/>
  <c r="M281" i="5"/>
  <c r="G278" i="5"/>
  <c r="M278" i="5"/>
  <c r="K283" i="5"/>
  <c r="M283" i="5"/>
  <c r="G283" i="5"/>
  <c r="G280" i="5"/>
  <c r="M280" i="5"/>
  <c r="K277" i="5"/>
  <c r="M277" i="5"/>
  <c r="G277" i="5"/>
  <c r="K282" i="5"/>
  <c r="M282" i="5"/>
  <c r="G282" i="5"/>
  <c r="G279" i="5"/>
  <c r="M279" i="5"/>
  <c r="C74" i="4"/>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H91" i="33"/>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BA20" i="24"/>
  <c r="AX20" i="24"/>
  <c r="AW20" i="24"/>
  <c r="AT20" i="24"/>
  <c r="D20" i="24"/>
  <c r="G20" i="24"/>
  <c r="H20" i="24"/>
  <c r="K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D314" i="27" l="1"/>
  <c r="J314" i="27"/>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AB16" i="15"/>
  <c r="AV6" i="15" s="1"/>
  <c r="H17" i="15" l="1"/>
  <c r="BB6" i="15" s="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J37" i="15"/>
  <c r="H37" i="15" s="1"/>
  <c r="BB16" i="15" s="1"/>
  <c r="A51" i="15" l="1"/>
  <c r="AD51" i="15" s="1"/>
  <c r="A57" i="15"/>
  <c r="AD57" i="15" s="1"/>
  <c r="A46" i="15"/>
  <c r="AD46" i="15" s="1"/>
  <c r="A58" i="15"/>
  <c r="AD58" i="15" s="1"/>
  <c r="F13" i="5" l="1"/>
  <c r="F12" i="5" l="1"/>
  <c r="F74" i="5" l="1"/>
  <c r="H36" i="15" l="1"/>
  <c r="BB15" i="15" s="1"/>
  <c r="H26" i="15"/>
  <c r="BB12" i="15" s="1"/>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J60" i="15" s="1"/>
  <c r="H60" i="15" s="1"/>
  <c r="BB25" i="15" s="1"/>
  <c r="E76" i="18"/>
  <c r="D76" i="18"/>
  <c r="AA54" i="15"/>
  <c r="Z60" i="15" l="1"/>
  <c r="AV25" i="15"/>
  <c r="A54" i="15"/>
  <c r="AD54" i="15" s="1"/>
  <c r="AB54" i="15"/>
  <c r="J54" i="15" s="1"/>
  <c r="H54" i="15" s="1"/>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J40" i="15"/>
  <c r="H40" i="15" l="1"/>
  <c r="BB18" i="15" s="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J41" i="15"/>
  <c r="H41" i="15" s="1"/>
  <c r="BB19" i="15" s="1"/>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J9" i="15" s="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J75" i="15"/>
  <c r="H75" i="15" s="1"/>
  <c r="BB28" i="15" s="1"/>
  <c r="A63" i="15"/>
  <c r="AV30" i="15" l="1"/>
  <c r="Q80" i="15"/>
  <c r="Z80" i="15"/>
  <c r="J76" i="15"/>
  <c r="H76" i="15" s="1"/>
  <c r="BB29" i="15" s="1"/>
  <c r="Z76" i="15"/>
  <c r="Q76" i="15"/>
  <c r="J39" i="15"/>
  <c r="H39" i="15" s="1"/>
  <c r="BB17" i="15" s="1"/>
  <c r="Z39" i="15"/>
  <c r="C35" i="15"/>
  <c r="J34" i="15"/>
  <c r="H34" i="15" s="1"/>
  <c r="BB14" i="15" s="1"/>
  <c r="J80" i="15"/>
  <c r="H80" i="15" s="1"/>
  <c r="BB30" i="15" s="1"/>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N37" i="18" l="1"/>
  <c r="F76" i="18"/>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F22" i="15" s="1"/>
  <c r="B141" i="6"/>
  <c r="G76" i="5"/>
  <c r="C138" i="6"/>
  <c r="F15" i="15"/>
  <c r="J15" i="15" s="1"/>
  <c r="H15" i="15" s="1"/>
  <c r="BB10" i="15" s="1"/>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F29" i="15"/>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R168" i="20" s="1"/>
  <c r="H170" i="6"/>
  <c r="H168" i="20" s="1"/>
  <c r="M170" i="6"/>
  <c r="M168" i="20" s="1"/>
  <c r="G170" i="6"/>
  <c r="G168" i="20" s="1"/>
  <c r="L170" i="6"/>
  <c r="L168" i="20" s="1"/>
  <c r="Q170" i="6"/>
  <c r="Q168" i="20" s="1"/>
  <c r="L237" i="5"/>
  <c r="G236" i="5" s="1"/>
  <c r="H11" i="8"/>
  <c r="D15" i="8" s="1"/>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D25" i="35" l="1"/>
  <c r="G25" i="35" s="1"/>
  <c r="H278" i="5"/>
  <c r="Z36" i="6" s="1"/>
  <c r="Z13" i="6" s="1"/>
  <c r="I222" i="5"/>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Z35" i="6" l="1"/>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J69" i="15"/>
  <c r="H69" i="15" s="1"/>
  <c r="BB27" i="15" s="1"/>
  <c r="AE69" i="15"/>
  <c r="AA31" i="15"/>
  <c r="AA30" i="15"/>
  <c r="A30" i="15" s="1"/>
  <c r="AD30" i="15" s="1"/>
  <c r="AE26" i="15"/>
  <c r="D161" i="20"/>
  <c r="D141" i="20" s="1"/>
  <c r="B141" i="20"/>
  <c r="O26" i="15" s="1"/>
  <c r="A26" i="15"/>
  <c r="AD26" i="15" s="1"/>
  <c r="AE22" i="15"/>
  <c r="J22" i="15"/>
  <c r="H22" i="15" s="1"/>
  <c r="BB11" i="15" s="1"/>
  <c r="J29" i="15"/>
  <c r="H29" i="15" s="1"/>
  <c r="BB13" i="15" s="1"/>
  <c r="AE29" i="15"/>
  <c r="C95" i="6"/>
  <c r="J11" i="11"/>
  <c r="J10" i="11"/>
  <c r="C142" i="6"/>
  <c r="C142" i="20" s="1"/>
  <c r="C141" i="20"/>
  <c r="C144" i="6"/>
  <c r="F69" i="15"/>
  <c r="B140" i="20"/>
  <c r="Z76" i="18"/>
  <c r="D175" i="6"/>
  <c r="D173" i="6"/>
  <c r="C52" i="10" s="1"/>
  <c r="C58" i="10" s="1"/>
  <c r="C64" i="10" s="1"/>
  <c r="S261" i="5"/>
  <c r="P260" i="5"/>
  <c r="I32" i="11"/>
  <c r="K32" i="11" s="1"/>
  <c r="I63" i="5"/>
  <c r="F13" i="15" s="1"/>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P40" i="15"/>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H315" i="27" l="1"/>
  <c r="I315" i="27" s="1"/>
  <c r="E143" i="20"/>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28" i="27" l="1"/>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E108" i="20" s="1"/>
  <c r="AK14" i="6"/>
  <c r="AK17" i="6"/>
  <c r="AK8" i="6"/>
  <c r="AK11" i="6"/>
  <c r="AK7" i="6"/>
  <c r="AD264" i="5"/>
  <c r="AE264" i="5"/>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Y265" i="5" l="1"/>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l="1"/>
  <c r="AF102" i="20"/>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F9" i="15"/>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F12" i="15"/>
  <c r="J12" i="15" s="1"/>
  <c r="H12" i="15" s="1"/>
  <c r="BB9" i="15" s="1"/>
  <c r="E146" i="6"/>
  <c r="F146" i="6" s="1"/>
  <c r="C39" i="30" s="1"/>
  <c r="F136" i="6"/>
  <c r="C42" i="6"/>
  <c r="C38" i="6"/>
  <c r="B146" i="20"/>
  <c r="H9" i="15" l="1"/>
  <c r="BB8" i="15" s="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J50" i="15" s="1"/>
  <c r="H50" i="15" s="1"/>
  <c r="Z50" i="15" l="1"/>
  <c r="AB45" i="15"/>
  <c r="J45" i="15" s="1"/>
  <c r="H45" i="15" s="1"/>
  <c r="Q50" i="15"/>
  <c r="X50" i="15" s="1"/>
  <c r="Y50" i="15" s="1"/>
  <c r="Z45" i="15" l="1"/>
  <c r="AE44" i="15"/>
  <c r="Q45" i="15"/>
  <c r="X45" i="15" s="1"/>
  <c r="Y45" i="15" s="1"/>
  <c r="AB51" i="15"/>
  <c r="J51" i="15" s="1"/>
  <c r="H51" i="15" s="1"/>
  <c r="Z51" i="15" l="1"/>
  <c r="AB46" i="15"/>
  <c r="J46" i="15" s="1"/>
  <c r="H46" i="15" s="1"/>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J52" i="15" s="1"/>
  <c r="H52" i="15" s="1"/>
  <c r="H49" i="15" s="1"/>
  <c r="BB21" i="15" s="1"/>
  <c r="AB47" i="15"/>
  <c r="AV20" i="15" l="1"/>
  <c r="AX20" i="15" s="1"/>
  <c r="J47" i="15"/>
  <c r="H47" i="15" s="1"/>
  <c r="H44" i="15" s="1"/>
  <c r="BB20" i="15" s="1"/>
  <c r="Z52" i="15"/>
  <c r="AV21" i="15"/>
  <c r="AX28" i="15" s="1"/>
  <c r="AB44" i="15"/>
  <c r="J44" i="15" s="1"/>
  <c r="Z47" i="15"/>
  <c r="Q47" i="15"/>
  <c r="X47" i="15" s="1"/>
  <c r="Y47" i="15" s="1"/>
  <c r="Y44" i="15" s="1"/>
  <c r="N19" i="33" s="1"/>
  <c r="D112" i="20"/>
  <c r="Q52" i="15"/>
  <c r="X52" i="15" s="1"/>
  <c r="Y52" i="15" s="1"/>
  <c r="Y54" i="15" s="1"/>
  <c r="N21" i="33" s="1"/>
  <c r="AB49" i="15"/>
  <c r="AA44" i="15"/>
  <c r="AW20" i="15" l="1"/>
  <c r="AE49" i="15"/>
  <c r="J49" i="15"/>
  <c r="AX29" i="15"/>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J57" i="15" s="1"/>
  <c r="H57" i="15" s="1"/>
  <c r="BB23" i="15" s="1"/>
  <c r="Z57" i="15" l="1"/>
  <c r="AV23" i="15"/>
  <c r="Q57" i="15"/>
  <c r="X57" i="15" s="1"/>
  <c r="Y57" i="15" s="1"/>
  <c r="AB58" i="15"/>
  <c r="AE57" i="15"/>
  <c r="D106" i="20" l="1"/>
  <c r="J58" i="15"/>
  <c r="H58" i="15" s="1"/>
  <c r="BB24" i="15" s="1"/>
  <c r="N22" i="33"/>
  <c r="AX23" i="15"/>
  <c r="AW23" i="15"/>
  <c r="Z58" i="15"/>
  <c r="C50" i="4" s="1"/>
  <c r="AV24" i="15"/>
  <c r="AW26" i="15" s="1"/>
  <c r="AD6" i="15"/>
  <c r="A6" i="15"/>
  <c r="A56" i="15"/>
  <c r="Q58" i="15"/>
  <c r="AE58" i="15"/>
  <c r="J106" i="20" l="1"/>
  <c r="L106" i="20" s="1"/>
  <c r="N106" i="20" s="1"/>
  <c r="P106" i="20" s="1"/>
  <c r="R106" i="20" s="1"/>
  <c r="T106" i="20" s="1"/>
  <c r="V106" i="20" s="1"/>
  <c r="X106" i="20" s="1"/>
  <c r="Z106" i="20" s="1"/>
  <c r="AB106" i="20" s="1"/>
  <c r="AD106" i="20" s="1"/>
  <c r="AF106" i="20" s="1"/>
  <c r="D107" i="20"/>
  <c r="AW24" i="15"/>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I81" i="33" l="1"/>
  <c r="Y56" i="15"/>
  <c r="N107" i="20"/>
  <c r="P107" i="20" l="1"/>
  <c r="R107" i="20" l="1"/>
  <c r="T107" i="20" l="1"/>
  <c r="V107" i="20" l="1"/>
  <c r="X107" i="20" l="1"/>
  <c r="Z107" i="20" l="1"/>
  <c r="AB107" i="20" l="1"/>
  <c r="AD107" i="20" l="1"/>
  <c r="AF107" i="20" l="1"/>
  <c r="H18" i="33" l="1"/>
  <c r="J16" i="33"/>
  <c r="H86" i="33" l="1"/>
  <c r="H88" i="33" s="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l="1"/>
  <c r="E191" i="33"/>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P41" i="15"/>
  <c r="F215" i="33" l="1"/>
  <c r="H215" i="33" s="1"/>
  <c r="E216" i="33" s="1"/>
  <c r="J215" i="33"/>
  <c r="G60" i="5"/>
  <c r="E78" i="5" s="1"/>
  <c r="E311" i="5" s="1"/>
  <c r="F216" i="33" l="1"/>
  <c r="H216" i="33" s="1"/>
  <c r="E217" i="33" s="1"/>
  <c r="J216" i="33"/>
  <c r="E54" i="5"/>
  <c r="M42" i="31"/>
  <c r="J76" i="18"/>
  <c r="AA76" i="18" s="1"/>
  <c r="D182" i="20"/>
  <c r="D188" i="20" s="1"/>
  <c r="D191" i="20" s="1"/>
  <c r="D184" i="6"/>
  <c r="D164" i="6" s="1"/>
  <c r="D43" i="15"/>
  <c r="I180" i="20" s="1"/>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N190" i="20"/>
  <c r="R190" i="20"/>
  <c r="P190" i="20"/>
  <c r="K190" i="20"/>
  <c r="H190" i="20"/>
  <c r="N192" i="6"/>
  <c r="D192" i="6"/>
  <c r="O14" i="15" s="1"/>
  <c r="I192" i="6"/>
  <c r="J192" i="6"/>
  <c r="G192" i="6"/>
  <c r="P180" i="20"/>
  <c r="L180" i="20"/>
  <c r="J180" i="20"/>
  <c r="J193" i="6" l="1"/>
  <c r="F218" i="33"/>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s="1"/>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Q36" i="6"/>
  <c r="Q13" i="6" s="1"/>
  <c r="P13" i="6"/>
  <c r="M71" i="20"/>
  <c r="N71" i="20" s="1"/>
  <c r="N72" i="20" s="1"/>
  <c r="Q71" i="6"/>
  <c r="Q72" i="6" s="1"/>
  <c r="P72" i="6"/>
  <c r="M35" i="20"/>
  <c r="P12" i="6"/>
  <c r="M12" i="20" s="1"/>
  <c r="O69" i="6"/>
  <c r="L285" i="5"/>
  <c r="D155" i="31"/>
  <c r="E321" i="5"/>
  <c r="C24" i="30"/>
  <c r="G285" i="5"/>
  <c r="E175" i="20"/>
  <c r="E86" i="20" s="1"/>
  <c r="D167" i="20"/>
  <c r="O66" i="6"/>
  <c r="O35" i="6"/>
  <c r="N88" i="6" l="1"/>
  <c r="I146" i="20"/>
  <c r="J229" i="5"/>
  <c r="I229" i="5" s="1"/>
  <c r="Q35" i="6"/>
  <c r="Q57" i="6" s="1"/>
  <c r="N85" i="6"/>
  <c r="O12" i="6"/>
  <c r="P51" i="6"/>
  <c r="P63" i="6"/>
  <c r="P48" i="6"/>
  <c r="P57" i="6"/>
  <c r="P45" i="6"/>
  <c r="P54" i="6"/>
  <c r="G40" i="10"/>
  <c r="G46" i="10" s="1"/>
  <c r="P62" i="6"/>
  <c r="M62" i="20" s="1"/>
  <c r="N62" i="20" s="1"/>
  <c r="P73" i="6"/>
  <c r="P75" i="6" s="1"/>
  <c r="O36" i="6"/>
  <c r="P38" i="6"/>
  <c r="D173" i="20"/>
  <c r="D171" i="20"/>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J20" i="24" s="1"/>
  <c r="D149" i="20"/>
  <c r="B12" i="24"/>
  <c r="J12" i="24" s="1"/>
  <c r="F321" i="5"/>
  <c r="E323" i="5"/>
  <c r="D94" i="6"/>
  <c r="E16" i="6"/>
  <c r="D88" i="6"/>
  <c r="D85" i="6"/>
  <c r="D16" i="6"/>
  <c r="AF85" i="20"/>
  <c r="J85" i="20"/>
  <c r="V85" i="20"/>
  <c r="L85" i="20"/>
  <c r="T85" i="20"/>
  <c r="O70" i="6"/>
  <c r="Q54" i="6" l="1"/>
  <c r="O16" i="15"/>
  <c r="O13" i="15"/>
  <c r="O9" i="15"/>
  <c r="O75" i="15"/>
  <c r="O73" i="15" s="1"/>
  <c r="F12" i="24"/>
  <c r="R12" i="24"/>
  <c r="C20" i="24"/>
  <c r="R20" i="24"/>
  <c r="D36" i="6"/>
  <c r="D13" i="6" s="1"/>
  <c r="H24" i="33" s="1"/>
  <c r="Q38" i="6"/>
  <c r="Q39" i="6" s="1"/>
  <c r="Q68" i="6"/>
  <c r="Q70" i="6" s="1"/>
  <c r="Q63" i="6"/>
  <c r="Q65" i="6"/>
  <c r="Q66" i="6"/>
  <c r="Q48" i="6"/>
  <c r="Q45" i="6"/>
  <c r="Q12" i="6"/>
  <c r="Q73" i="6"/>
  <c r="Q75" i="6" s="1"/>
  <c r="Q51" i="6"/>
  <c r="Q62" i="6"/>
  <c r="N87" i="6"/>
  <c r="N89" i="6" s="1"/>
  <c r="M85" i="20"/>
  <c r="N85" i="20" s="1"/>
  <c r="N15" i="20" s="1"/>
  <c r="P15" i="6"/>
  <c r="C12" i="24"/>
  <c r="S12" i="24" s="1"/>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AZ12" i="24" s="1"/>
  <c r="X50" i="24"/>
  <c r="P86" i="20"/>
  <c r="P87" i="20" s="1"/>
  <c r="P15" i="20"/>
  <c r="R86" i="20"/>
  <c r="R87" i="20" s="1"/>
  <c r="R15" i="20"/>
  <c r="AD86" i="20"/>
  <c r="AD87" i="20" s="1"/>
  <c r="AD15" i="20"/>
  <c r="P74" i="6"/>
  <c r="Q74" i="6"/>
  <c r="N63" i="20"/>
  <c r="N64" i="20" s="1"/>
  <c r="O13" i="6"/>
  <c r="O9" i="6"/>
  <c r="O6" i="6"/>
  <c r="P37" i="15" l="1"/>
  <c r="T37" i="15" s="1"/>
  <c r="U37" i="15" s="1"/>
  <c r="P36" i="15"/>
  <c r="T36" i="15" s="1"/>
  <c r="U36" i="15" s="1"/>
  <c r="O7" i="15"/>
  <c r="AV12" i="24"/>
  <c r="BH12" i="24"/>
  <c r="M184" i="31"/>
  <c r="D35" i="6"/>
  <c r="R14" i="15" s="1"/>
  <c r="S14" i="15" s="1"/>
  <c r="Q59" i="6"/>
  <c r="Q60" i="6" s="1"/>
  <c r="R7" i="15"/>
  <c r="S7" i="15" s="1"/>
  <c r="Q56" i="6"/>
  <c r="D38" i="6"/>
  <c r="C41" i="30" s="1"/>
  <c r="C44" i="30" s="1"/>
  <c r="C45" i="30" s="1"/>
  <c r="C51" i="30" s="1"/>
  <c r="C52" i="30" s="1"/>
  <c r="Q47" i="6"/>
  <c r="Q44" i="6"/>
  <c r="Q69" i="6"/>
  <c r="Q41" i="6"/>
  <c r="Q42" i="6" s="1"/>
  <c r="Q53" i="6"/>
  <c r="Q50" i="6"/>
  <c r="N86" i="20"/>
  <c r="N87" i="20" s="1"/>
  <c r="P6" i="6"/>
  <c r="P9" i="6"/>
  <c r="M15" i="20"/>
  <c r="N16" i="20" s="1"/>
  <c r="N17" i="20" s="1"/>
  <c r="Q15" i="6"/>
  <c r="P20" i="6"/>
  <c r="P21" i="6" s="1"/>
  <c r="U34" i="15"/>
  <c r="AS12" i="24"/>
  <c r="BI12" i="24" s="1"/>
  <c r="H23" i="33"/>
  <c r="S20" i="24"/>
  <c r="O14"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BH20" i="24" l="1"/>
  <c r="AZ20" i="24"/>
  <c r="P22" i="6"/>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12" i="6"/>
  <c r="C12" i="20" s="1"/>
  <c r="B28" i="20" s="1"/>
  <c r="D53" i="6"/>
  <c r="C53" i="20" s="1"/>
  <c r="D44" i="6"/>
  <c r="C44" i="20" s="1"/>
  <c r="D59" i="6"/>
  <c r="C59" i="20" s="1"/>
  <c r="D41" i="6"/>
  <c r="D42" i="6" s="1"/>
  <c r="D56" i="6"/>
  <c r="C56" i="20" s="1"/>
  <c r="D39" i="6"/>
  <c r="C38" i="20"/>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C53" i="30"/>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E62" i="6" l="1"/>
  <c r="E63" i="6" s="1"/>
  <c r="C62" i="20"/>
  <c r="D62" i="20" s="1"/>
  <c r="D63" i="20" s="1"/>
  <c r="D64" i="20" s="1"/>
  <c r="C50" i="20"/>
  <c r="D50" i="20" s="1"/>
  <c r="D51" i="20" s="1"/>
  <c r="D77" i="6"/>
  <c r="U6" i="15"/>
  <c r="D48" i="6"/>
  <c r="E38" i="6"/>
  <c r="E53" i="6" s="1"/>
  <c r="E54" i="6" s="1"/>
  <c r="E65" i="6"/>
  <c r="E67" i="6" s="1"/>
  <c r="D66" i="6"/>
  <c r="D37" i="6" s="1"/>
  <c r="E68" i="6"/>
  <c r="E69" i="6" s="1"/>
  <c r="B28" i="6"/>
  <c r="D74" i="6"/>
  <c r="C68" i="20"/>
  <c r="D68" i="20" s="1"/>
  <c r="D80" i="20" s="1"/>
  <c r="E76" i="6"/>
  <c r="E77" i="6" s="1"/>
  <c r="E12" i="6"/>
  <c r="C324" i="5" s="1"/>
  <c r="E36" i="6"/>
  <c r="E13" i="6" s="1"/>
  <c r="F15" i="6" s="1"/>
  <c r="E73" i="6"/>
  <c r="E74" i="6" s="1"/>
  <c r="D70" i="6"/>
  <c r="D6" i="6"/>
  <c r="D33" i="24" s="1"/>
  <c r="U3" i="25"/>
  <c r="D9" i="6"/>
  <c r="D54" i="6"/>
  <c r="D46" i="6"/>
  <c r="D60" i="6"/>
  <c r="D45" i="6"/>
  <c r="C41" i="20"/>
  <c r="D41" i="20" s="1"/>
  <c r="C43" i="30"/>
  <c r="D57"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D56" i="20"/>
  <c r="D57" i="20" s="1"/>
  <c r="D58" i="20" s="1"/>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E46" i="20"/>
  <c r="D44" i="20"/>
  <c r="D45" i="20" s="1"/>
  <c r="D46" i="20" s="1"/>
  <c r="B80" i="20"/>
  <c r="C57" i="30"/>
  <c r="C58" i="30"/>
  <c r="C60" i="30"/>
  <c r="C61" i="30"/>
  <c r="C19" i="6"/>
  <c r="M186" i="31"/>
  <c r="D53" i="20"/>
  <c r="D54" i="20" s="1"/>
  <c r="D55" i="20" s="1"/>
  <c r="D59" i="20"/>
  <c r="D60" i="20" s="1"/>
  <c r="D61" i="20" s="1"/>
  <c r="Z3" i="25"/>
  <c r="D27" i="20"/>
  <c r="D52" i="20" l="1"/>
  <c r="D11" i="6"/>
  <c r="D19" i="6"/>
  <c r="E66" i="6"/>
  <c r="E70" i="6"/>
  <c r="E9" i="6"/>
  <c r="E10" i="6" s="1"/>
  <c r="F11" i="6" s="1"/>
  <c r="E56" i="6"/>
  <c r="E57" i="6" s="1"/>
  <c r="E50" i="6"/>
  <c r="E51" i="6" s="1"/>
  <c r="E44" i="6"/>
  <c r="F38" i="6" s="1"/>
  <c r="D7" i="6"/>
  <c r="H29" i="33"/>
  <c r="D69" i="20"/>
  <c r="D70" i="20" s="1"/>
  <c r="E41" i="6"/>
  <c r="E42" i="6" s="1"/>
  <c r="E47" i="6"/>
  <c r="E48" i="6" s="1"/>
  <c r="E59" i="6"/>
  <c r="E60" i="6" s="1"/>
  <c r="E39" i="6"/>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38" i="20"/>
  <c r="C73" i="30" s="1"/>
  <c r="D42" i="20"/>
  <c r="D43" i="20" s="1"/>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E37" i="6" l="1"/>
  <c r="D316" i="25"/>
  <c r="E46" i="6"/>
  <c r="C23" i="20"/>
  <c r="E45" i="6"/>
  <c r="D8" i="6"/>
  <c r="D22" i="6"/>
  <c r="E19" i="6"/>
  <c r="R34" i="15"/>
  <c r="R33" i="15" s="1"/>
  <c r="S39" i="15" s="1"/>
  <c r="W39" i="15" s="1"/>
  <c r="E20" i="6"/>
  <c r="E22" i="6" s="1"/>
  <c r="E23" i="6"/>
  <c r="E24" i="6" s="1"/>
  <c r="C338" i="5"/>
  <c r="S34" i="15"/>
  <c r="W34" i="15" s="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N427" i="25" l="1"/>
  <c r="N428" i="25"/>
  <c r="S38" i="15"/>
  <c r="E21" i="6"/>
  <c r="S33" i="15"/>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K33" i="25" s="1"/>
  <c r="N425" i="25"/>
  <c r="N430" i="25"/>
  <c r="M64" i="25" s="1"/>
  <c r="N424" i="25"/>
  <c r="G41" i="10"/>
  <c r="G47" i="10" s="1"/>
  <c r="G50" i="10" s="1"/>
  <c r="N110" i="20" s="1"/>
  <c r="N108" i="20" s="1"/>
  <c r="N36" i="20"/>
  <c r="N37" i="20" s="1"/>
  <c r="J88" i="25"/>
  <c r="W33" i="15"/>
  <c r="C80" i="20"/>
  <c r="D66" i="20"/>
  <c r="D67" i="20" s="1"/>
  <c r="D35" i="20"/>
  <c r="C86" i="30"/>
  <c r="C84" i="30"/>
  <c r="C83" i="30"/>
  <c r="C87" i="30"/>
  <c r="W38" i="15"/>
  <c r="N16" i="33"/>
  <c r="Q16" i="33" s="1"/>
  <c r="N9" i="20"/>
  <c r="N10" i="20" s="1"/>
  <c r="N11" i="20" s="1"/>
  <c r="N13" i="20"/>
  <c r="N14" i="20" s="1"/>
  <c r="J13" i="25" l="1"/>
  <c r="S6" i="1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l="1"/>
  <c r="I35" i="33"/>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M194" i="31"/>
  <c r="F93" i="15"/>
  <c r="I33" i="33"/>
  <c r="V34" i="33" l="1"/>
  <c r="V35" i="33" s="1"/>
  <c r="H34" i="33"/>
  <c r="F94" i="15" s="1"/>
  <c r="U34" i="33"/>
  <c r="M196" i="31"/>
  <c r="H80" i="33"/>
  <c r="I32" i="33"/>
  <c r="M195" i="31"/>
  <c r="U35" i="33" l="1"/>
  <c r="I34" i="33" s="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<sst xmlns="http://schemas.openxmlformats.org/spreadsheetml/2006/main" count="6619" uniqueCount="2508">
  <si>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</si>
  <si>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</si>
  <si>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</si>
  <si>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</si>
  <si>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</si>
  <si>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</si>
  <si>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</si>
  <si>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</si>
  <si>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</si>
  <si>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</si>
  <si>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</si>
  <si>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</si>
  <si>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</si>
  <si>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</si>
  <si>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</si>
  <si>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</si>
  <si>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</si>
  <si>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</si>
  <si>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</si>
  <si>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</si>
  <si>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</si>
  <si>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</si>
  <si>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</si>
  <si>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</si>
  <si>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</si>
  <si>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</si>
  <si>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</si>
  <si>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</si>
  <si>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</si>
  <si>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</si>
  <si>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</si>
  <si>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</si>
  <si>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</si>
  <si>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</si>
  <si>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</si>
  <si>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</si>
  <si>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</si>
  <si>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</si>
  <si>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</si>
  <si>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</si>
  <si>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</si>
  <si>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</si>
  <si>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</si>
  <si>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</si>
  <si>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</si>
  <si>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</si>
  <si>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</si>
  <si>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</si>
  <si>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</si>
  <si>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</si>
  <si>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</si>
  <si>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</si>
  <si>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</si>
  <si>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</si>
  <si>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</si>
  <si>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</si>
  <si>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</si>
  <si>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</si>
  <si>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</si>
  <si>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</si>
  <si>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</si>
  <si>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</si>
  <si>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</si>
  <si>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</si>
  <si>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</si>
  <si>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</si>
  <si>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</si>
  <si>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</si>
  <si>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</si>
  <si>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</si>
  <si>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</si>
  <si>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</si>
  <si>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</si>
  <si>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</si>
  <si>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</si>
  <si>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</si>
  <si>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</si>
  <si>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</si>
  <si>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</si>
  <si>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</si>
  <si>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</si>
  <si>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</si>
  <si>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</si>
  <si>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</si>
  <si>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</si>
  <si>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</si>
  <si>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</si>
  <si>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</si>
  <si>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</si>
  <si>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</si>
  <si>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</si>
  <si>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</si>
  <si>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</si>
  <si>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</si>
  <si>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</si>
  <si>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</si>
  <si>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</si>
  <si>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</si>
  <si>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</si>
  <si>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</si>
  <si>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</si>
  <si>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</si>
  <si>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</si>
  <si>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</si>
  <si>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</si>
  <si>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</si>
  <si>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</si>
  <si>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</si>
  <si>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</si>
  <si>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</si>
  <si>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</si>
  <si>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</si>
  <si>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</si>
  <si>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</si>
  <si>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</si>
  <si>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</si>
  <si>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</si>
  <si>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</si>
  <si>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</si>
  <si>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</si>
  <si>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</si>
  <si>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</si>
  <si>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</si>
  <si>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</si>
  <si>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</si>
  <si>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</si>
  <si>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</si>
  <si>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</si>
  <si>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</si>
  <si>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</si>
  <si>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</si>
  <si>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</si>
  <si>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</si>
  <si>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</si>
  <si>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</si>
  <si>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</si>
  <si>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</si>
  <si>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</si>
  <si>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</si>
  <si>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</si>
  <si>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</si>
  <si>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</si>
  <si>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</si>
  <si>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</si>
  <si>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</si>
  <si>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</si>
  <si>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</si>
  <si>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</si>
  <si>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</si>
  <si>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</si>
  <si>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</si>
  <si>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</si>
  <si>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</si>
  <si>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</si>
  <si>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</si>
  <si>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</si>
  <si>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</si>
  <si>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</si>
  <si>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</si>
  <si>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</si>
  <si>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</si>
  <si>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</si>
  <si>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</si>
  <si>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</si>
  <si>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</si>
  <si>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</si>
  <si>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</si>
  <si>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</si>
  <si>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</si>
  <si>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</si>
  <si>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</si>
  <si>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</si>
  <si>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</si>
  <si>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</si>
  <si>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</si>
  <si>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</si>
  <si>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</si>
  <si>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</si>
  <si>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</si>
  <si>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</si>
  <si>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</si>
  <si>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</si>
  <si>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</si>
  <si>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</si>
  <si>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</si>
  <si>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</si>
  <si>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</si>
  <si>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</si>
  <si>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</si>
  <si>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</si>
  <si>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</si>
  <si>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</si>
  <si>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</si>
  <si>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</si>
  <si>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</si>
  <si>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</si>
  <si>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</si>
  <si>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</si>
  <si>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</si>
  <si>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</si>
  <si>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</si>
  <si>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</si>
  <si>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</si>
  <si>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</si>
  <si>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</si>
  <si>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</si>
  <si>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</si>
  <si>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</si>
  <si>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</si>
  <si>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</si>
  <si>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</si>
  <si>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</si>
  <si>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</si>
  <si>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</si>
  <si>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</si>
  <si>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</si>
  <si>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</si>
  <si>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</si>
  <si>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</si>
  <si>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</si>
  <si>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</si>
  <si>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</si>
  <si>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</si>
  <si>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</si>
  <si>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</si>
  <si>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</si>
  <si>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</si>
  <si>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</si>
  <si>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</si>
  <si>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</si>
  <si>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</si>
  <si>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</si>
  <si>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</si>
  <si>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</si>
  <si>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</si>
  <si>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</si>
  <si>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</si>
  <si>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</si>
  <si>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</si>
  <si>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</si>
  <si>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</si>
  <si>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</si>
  <si>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</si>
  <si>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</si>
  <si>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</si>
  <si>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</si>
  <si>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</si>
  <si>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</si>
  <si>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</si>
  <si>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</si>
  <si>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</si>
  <si>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</si>
  <si>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</si>
  <si>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</si>
  <si>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</si>
  <si>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</si>
  <si>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</si>
  <si>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</si>
  <si>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</si>
  <si>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</si>
  <si>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</si>
  <si>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</si>
  <si>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</si>
  <si>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</si>
  <si>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</si>
  <si>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</si>
  <si>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</si>
  <si>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</si>
  <si>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</si>
  <si>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</si>
  <si>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</si>
  <si>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</si>
  <si>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</si>
  <si>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</si>
  <si>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</si>
  <si>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</si>
  <si>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</si>
  <si>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</si>
  <si>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</si>
  <si>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</si>
  <si>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</si>
  <si>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</si>
  <si>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</si>
  <si>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</si>
  <si>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</si>
  <si>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</si>
  <si>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</si>
  <si>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</si>
  <si>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</si>
  <si>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</si>
  <si>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</si>
  <si>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</si>
  <si>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</si>
  <si>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</si>
  <si>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</si>
  <si>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</si>
  <si>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</si>
  <si>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</si>
  <si>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</si>
  <si>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</si>
  <si>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</si>
  <si>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</si>
  <si>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</si>
  <si>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</si>
  <si>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</si>
  <si>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</si>
  <si>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</si>
  <si>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</si>
  <si>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</si>
  <si>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</si>
  <si>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</si>
  <si>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</si>
  <si>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</si>
  <si>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</si>
  <si>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</si>
  <si>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</si>
  <si>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</si>
  <si>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</si>
  <si>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</si>
  <si>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</si>
  <si>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</si>
  <si>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</si>
  <si>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</si>
  <si>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</si>
  <si>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</si>
  <si>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</si>
  <si>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</si>
  <si>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</si>
  <si>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</si>
  <si>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</si>
  <si>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</si>
  <si>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</si>
  <si>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</si>
  <si>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</si>
  <si>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</si>
  <si>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</si>
  <si>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</si>
  <si>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</si>
  <si>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</si>
  <si>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</si>
  <si>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</si>
  <si>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</si>
  <si>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</si>
  <si>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</si>
  <si>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</si>
  <si>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</si>
  <si>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</si>
  <si>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</si>
  <si>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</si>
  <si>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</si>
  <si>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</si>
  <si>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</si>
  <si>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</si>
  <si>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</si>
  <si>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</si>
  <si>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</si>
  <si>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</si>
  <si>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</si>
  <si>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</si>
  <si>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</si>
  <si>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</si>
  <si>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</si>
  <si>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</si>
  <si>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</si>
  <si>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</si>
  <si>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</si>
  <si>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</si>
  <si>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</si>
  <si>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</si>
  <si>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</si>
  <si>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</si>
  <si>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</si>
  <si>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</si>
  <si>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</si>
  <si>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</si>
  <si>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</si>
  <si>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</si>
  <si>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</si>
  <si>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</si>
  <si>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</si>
  <si>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</si>
  <si>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</si>
  <si>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</si>
  <si>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</si>
  <si>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</si>
  <si>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</si>
  <si>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</si>
  <si>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</si>
  <si>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</si>
  <si>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</si>
  <si>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</si>
  <si>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</si>
  <si>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</si>
  <si>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</si>
  <si>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</si>
  <si>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</si>
  <si>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</si>
  <si>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</si>
  <si>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</si>
  <si>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</si>
  <si>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</si>
  <si>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</si>
  <si>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</si>
  <si>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</si>
  <si>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</si>
  <si>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</si>
  <si>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</si>
  <si>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</si>
  <si>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</si>
  <si>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</si>
  <si>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</si>
  <si>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</si>
  <si>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</si>
  <si>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</si>
  <si>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</si>
  <si>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</si>
  <si>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</si>
  <si>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</si>
  <si>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</si>
  <si>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</si>
  <si>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</si>
  <si>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</si>
  <si>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</si>
  <si>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</si>
  <si>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</si>
  <si>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</si>
  <si>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</si>
  <si>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</si>
  <si>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</si>
  <si>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</si>
  <si>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</si>
  <si>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</si>
  <si>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</si>
  <si>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</si>
  <si>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</si>
  <si>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</si>
  <si>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</si>
  <si>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</si>
  <si>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</si>
  <si>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</si>
  <si>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</si>
  <si>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</si>
  <si>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</si>
  <si>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</si>
  <si>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</si>
  <si>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</si>
  <si>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</si>
  <si>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</si>
  <si>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</si>
  <si>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</si>
  <si>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</si>
  <si>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</si>
  <si>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</si>
  <si>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</si>
  <si>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</si>
  <si>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</si>
  <si>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</si>
  <si>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</si>
  <si>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</si>
  <si>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</si>
  <si>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</si>
  <si>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</si>
  <si>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</si>
  <si>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</si>
  <si>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</si>
  <si>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</si>
  <si>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</si>
  <si>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</si>
  <si>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</si>
  <si>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</si>
  <si>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</si>
  <si>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</si>
  <si>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</si>
  <si>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</si>
  <si>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</si>
  <si>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</si>
  <si>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</si>
  <si>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</si>
  <si>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</si>
  <si>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</si>
  <si>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</si>
  <si>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</si>
  <si>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</si>
  <si>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</si>
  <si>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</si>
  <si>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</si>
  <si>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</si>
  <si>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</si>
  <si>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</si>
  <si>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</si>
  <si>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</si>
  <si>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</si>
  <si>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</si>
  <si>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</si>
  <si>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</si>
  <si>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</si>
  <si>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</si>
  <si>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</si>
  <si>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</si>
  <si>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</si>
  <si>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</si>
  <si>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</si>
  <si>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</si>
  <si>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</si>
  <si>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</si>
  <si>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</si>
  <si>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</si>
  <si>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</si>
  <si>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</si>
  <si>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</si>
  <si>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</si>
  <si>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</si>
  <si>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</si>
  <si>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</si>
  <si>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</si>
  <si>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</si>
  <si>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</si>
  <si>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</si>
  <si>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</si>
  <si>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</si>
  <si>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</si>
  <si>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</si>
  <si>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</si>
  <si>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</si>
  <si>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</si>
  <si>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</si>
  <si>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</si>
  <si>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</si>
  <si>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</si>
  <si>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</si>
  <si>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</si>
  <si>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</si>
  <si>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</si>
  <si>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</si>
  <si>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</si>
  <si>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</si>
  <si>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</si>
  <si>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</si>
  <si>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</si>
  <si>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</si>
  <si>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</si>
  <si>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</si>
  <si>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</si>
  <si>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</si>
  <si>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</si>
  <si>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</si>
  <si>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</si>
  <si>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</si>
  <si>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</si>
  <si>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</si>
  <si>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</si>
  <si>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</si>
  <si>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</si>
  <si>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</si>
  <si>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</si>
  <si>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</si>
  <si>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</si>
  <si>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</si>
  <si>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</si>
  <si>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</si>
  <si>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</si>
  <si>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</si>
  <si>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</si>
  <si>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</si>
  <si>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</si>
  <si>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</si>
  <si>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</si>
  <si>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</si>
  <si>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</si>
  <si>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</si>
  <si>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</si>
  <si>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</si>
  <si>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</si>
  <si>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</si>
  <si>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</si>
  <si>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</si>
  <si>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</si>
  <si>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</si>
  <si>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</si>
  <si>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</si>
  <si>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</si>
  <si>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</si>
  <si>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</si>
  <si>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</si>
  <si>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</si>
  <si>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</si>
  <si>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</si>
  <si>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</si>
  <si>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</si>
  <si>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</si>
  <si>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</si>
  <si>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</si>
  <si>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</si>
  <si>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</si>
  <si>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</si>
  <si>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</si>
  <si>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</si>
  <si>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</si>
  <si>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</si>
  <si>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</si>
  <si>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</si>
  <si>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</si>
  <si>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</si>
  <si>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</si>
  <si>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</si>
  <si>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</si>
  <si>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</si>
  <si>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</si>
  <si>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</si>
  <si>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</si>
  <si>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</si>
  <si>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</si>
  <si>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</si>
  <si>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</si>
  <si>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</si>
  <si>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</si>
  <si>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</si>
  <si>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</si>
  <si>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</si>
  <si>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</si>
  <si>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</si>
  <si>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</si>
  <si>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</si>
  <si>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</si>
  <si>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</si>
  <si>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</si>
  <si>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</si>
  <si>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</si>
  <si>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</si>
  <si>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</si>
  <si>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</si>
  <si>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</si>
  <si>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</si>
  <si>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</si>
  <si>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</si>
  <si>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</si>
  <si>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</si>
  <si>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</si>
  <si>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</si>
  <si>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</si>
  <si>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</si>
  <si>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</si>
  <si>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</si>
  <si>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</si>
  <si>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</si>
  <si>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</si>
  <si>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</si>
  <si>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</si>
  <si>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</si>
  <si>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</si>
  <si>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</si>
  <si>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</si>
  <si>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</si>
  <si>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</si>
  <si>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</si>
  <si>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</si>
  <si>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</si>
  <si>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</si>
  <si>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</si>
  <si>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</si>
  <si>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</si>
  <si>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</si>
  <si>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</si>
  <si>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</si>
  <si>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</si>
  <si>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</si>
  <si>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</si>
  <si>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</si>
  <si>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</si>
  <si>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</si>
  <si>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</si>
  <si>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</si>
  <si>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</si>
  <si>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</si>
  <si>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</si>
  <si>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</si>
  <si>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</si>
  <si>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</si>
  <si>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</si>
  <si>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</si>
  <si>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</si>
  <si>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</si>
  <si>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</si>
  <si>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</si>
  <si>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</si>
  <si>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</si>
  <si>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</si>
  <si>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</si>
  <si>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</si>
  <si>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</si>
  <si>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</si>
  <si>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</si>
  <si>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</si>
  <si>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</si>
  <si>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</si>
  <si>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</si>
  <si>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</si>
  <si>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</si>
  <si>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</si>
  <si>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</si>
  <si>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</si>
  <si>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</si>
  <si>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</si>
  <si>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</si>
  <si>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</si>
  <si>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</si>
  <si>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</si>
  <si>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</si>
  <si>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</si>
  <si>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</si>
  <si>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</si>
  <si>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</si>
  <si>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</si>
  <si>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</si>
  <si>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</si>
  <si>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</si>
  <si>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</si>
  <si>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</si>
  <si>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</si>
  <si>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</si>
  <si>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</si>
  <si>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</si>
  <si>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</si>
  <si>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</si>
  <si>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</si>
  <si>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</si>
  <si>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</si>
  <si>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</si>
  <si>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</si>
  <si>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</si>
  <si>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</si>
  <si>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</si>
  <si>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</si>
  <si>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</si>
  <si>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</si>
  <si>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</si>
  <si>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</si>
  <si>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</si>
  <si>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</si>
  <si>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</si>
  <si>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</si>
  <si>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</si>
  <si>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</si>
  <si>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</si>
  <si>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</si>
  <si>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</si>
  <si>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</si>
  <si>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</si>
  <si>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</si>
  <si>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</si>
  <si>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</si>
  <si>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</si>
  <si>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</si>
  <si>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</si>
  <si>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</si>
  <si>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</si>
  <si>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</si>
  <si>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</si>
  <si>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</si>
  <si>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</si>
  <si>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</si>
  <si>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</si>
  <si>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</si>
  <si>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</si>
  <si>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</si>
  <si>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</si>
  <si>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</si>
  <si>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</si>
  <si>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</si>
  <si>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</si>
  <si>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</si>
  <si>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</si>
  <si>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</si>
  <si>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</si>
  <si>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</si>
  <si>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</si>
  <si>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</si>
  <si>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</si>
  <si>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</si>
  <si>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</si>
  <si>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</si>
  <si>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</si>
  <si>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</si>
  <si>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</si>
  <si>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</si>
  <si>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</si>
  <si>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</si>
  <si>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</si>
  <si>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</si>
  <si>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</si>
  <si>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</si>
  <si>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</si>
  <si>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</si>
  <si>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</si>
  <si>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</si>
  <si>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</si>
  <si>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</si>
  <si>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</si>
  <si>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</si>
  <si>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</si>
  <si>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</si>
  <si>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</si>
  <si>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</si>
  <si>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</si>
  <si>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</si>
  <si>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</si>
  <si>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</si>
  <si>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</si>
  <si>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</si>
  <si>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</si>
  <si>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</si>
  <si>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</si>
  <si>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</si>
  <si>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</si>
  <si>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</si>
  <si>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</si>
  <si>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</si>
  <si>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</si>
  <si>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</si>
  <si>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</si>
  <si>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</si>
  <si>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</si>
  <si>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</si>
  <si>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</si>
  <si>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</si>
  <si>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</si>
  <si>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</si>
  <si>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</si>
  <si>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</si>
  <si>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</si>
  <si>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</si>
  <si>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</si>
  <si>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</si>
  <si>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</si>
  <si>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</si>
  <si>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</si>
  <si>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</si>
  <si>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</si>
  <si>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</si>
  <si>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</si>
  <si>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</si>
  <si>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</si>
  <si>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</si>
  <si>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</si>
  <si>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</si>
  <si>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</si>
  <si>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</si>
  <si>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</si>
  <si>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</si>
  <si>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</si>
  <si>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</si>
  <si>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</si>
  <si>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</si>
  <si>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</si>
  <si>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</si>
  <si>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</si>
  <si>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</si>
  <si>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</si>
  <si>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</si>
  <si>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</si>
  <si>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</si>
  <si>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</si>
  <si>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</si>
  <si>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</si>
  <si>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</si>
  <si>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</si>
  <si>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</si>
  <si>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</si>
  <si>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</si>
  <si>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</si>
  <si>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</si>
  <si>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</si>
  <si>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</si>
  <si>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</si>
  <si>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</si>
  <si>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</si>
  <si>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</si>
  <si>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</si>
  <si>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</si>
  <si>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</si>
  <si>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</si>
  <si>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</si>
  <si>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</si>
  <si>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</si>
  <si>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</si>
  <si>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</si>
  <si>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</si>
  <si>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</si>
  <si>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</si>
  <si>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</si>
  <si>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</si>
  <si>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</si>
  <si>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</si>
  <si>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</si>
  <si>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</si>
  <si>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</si>
  <si>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</si>
  <si>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</si>
  <si>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</si>
  <si>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</si>
  <si>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</si>
  <si>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</si>
  <si>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</si>
  <si>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</si>
  <si>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</si>
  <si>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</si>
  <si>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</si>
  <si>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</si>
  <si>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</si>
  <si>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</si>
  <si>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</si>
  <si>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</si>
  <si>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</si>
  <si>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</si>
  <si>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</si>
  <si>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</si>
  <si>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</si>
  <si>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</si>
  <si>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</si>
  <si>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</si>
  <si>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</si>
  <si>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</si>
  <si>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</si>
  <si>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</si>
  <si>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</si>
  <si>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</si>
  <si>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</si>
  <si>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</si>
  <si>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</si>
  <si>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</si>
  <si>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</si>
  <si>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</si>
  <si>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</si>
  <si>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</si>
  <si>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</si>
  <si>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</si>
  <si>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</si>
  <si>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</si>
  <si>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</si>
  <si>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</si>
  <si>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</si>
  <si>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</si>
  <si>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</si>
  <si>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</si>
  <si>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</si>
  <si>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</si>
  <si>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</si>
  <si>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</si>
  <si>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</si>
  <si>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</si>
  <si>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</si>
  <si>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</si>
  <si>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</si>
  <si>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</si>
  <si>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</si>
  <si>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</si>
  <si>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</si>
  <si>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</si>
  <si>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</si>
  <si>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</si>
  <si>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</si>
  <si>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</si>
  <si>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</si>
  <si>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</si>
  <si>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</si>
  <si>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</si>
  <si>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</si>
  <si>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</si>
  <si>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</si>
  <si>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</si>
  <si>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</si>
  <si>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</si>
  <si>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</si>
  <si>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</si>
  <si>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</si>
  <si>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</si>
  <si>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</si>
  <si>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</si>
  <si>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</si>
  <si>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</si>
  <si>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</si>
  <si>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</si>
  <si>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</si>
  <si>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</si>
  <si>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</si>
  <si>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</si>
  <si>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</si>
  <si>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</si>
  <si>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</si>
  <si>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</si>
  <si>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</si>
  <si>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</si>
  <si>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</si>
  <si>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</si>
  <si>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</si>
  <si>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</si>
  <si>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</si>
  <si>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</si>
  <si>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</si>
  <si>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</si>
  <si>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</si>
  <si>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</si>
  <si>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</si>
  <si>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</si>
  <si>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</si>
  <si>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</si>
  <si>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</si>
  <si>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</si>
  <si>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</si>
  <si>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</si>
  <si>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</si>
  <si>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</si>
  <si>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</si>
  <si>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</si>
  <si>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</si>
  <si>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</si>
  <si>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</si>
  <si>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</si>
  <si>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</si>
  <si>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</si>
  <si>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</si>
  <si>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</si>
  <si>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</si>
  <si>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</si>
  <si>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</si>
  <si>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</si>
  <si>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</si>
  <si>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</si>
  <si>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</si>
  <si>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</si>
  <si>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</si>
  <si>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</si>
  <si>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</si>
  <si>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</si>
  <si>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</si>
  <si>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</si>
  <si>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</si>
  <si>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</si>
  <si>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</si>
  <si>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</si>
  <si>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</si>
  <si>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</si>
  <si>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</si>
  <si>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</si>
  <si>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</si>
  <si>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</si>
  <si>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</si>
  <si>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</si>
  <si>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</si>
  <si>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</si>
  <si>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</si>
  <si>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</si>
  <si>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</si>
  <si>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</si>
  <si>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</si>
  <si>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</si>
  <si>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</si>
  <si>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</si>
  <si>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</si>
  <si>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</si>
  <si>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</si>
  <si>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</si>
  <si>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</si>
  <si>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</si>
  <si>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</si>
  <si>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</si>
  <si>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</si>
  <si>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</si>
  <si>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</si>
  <si>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</si>
  <si>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</si>
  <si>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</si>
  <si>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</si>
  <si>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</si>
  <si>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</si>
  <si>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</si>
  <si>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</si>
  <si>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</si>
  <si>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</si>
  <si>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</si>
  <si>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</si>
  <si>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</si>
  <si>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</si>
  <si>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</si>
  <si>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</si>
  <si>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</si>
  <si>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</si>
  <si>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</si>
  <si>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</si>
  <si>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</si>
  <si>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</si>
  <si>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</si>
  <si>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</si>
  <si>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</si>
  <si>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</si>
  <si>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</si>
  <si>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</si>
  <si>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</si>
  <si>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</si>
  <si>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</si>
  <si>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</si>
  <si>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</si>
  <si>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</si>
  <si>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</si>
  <si>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</si>
  <si>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</si>
  <si>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</si>
  <si>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</si>
  <si>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</si>
  <si>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</si>
  <si>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</si>
  <si>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</si>
  <si>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</si>
  <si>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</si>
  <si>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</si>
  <si>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</si>
  <si>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</si>
  <si>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</si>
  <si>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</si>
  <si>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</si>
  <si>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</si>
  <si>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</si>
  <si>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</si>
  <si>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</si>
  <si>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</si>
  <si>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</si>
  <si>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</si>
  <si>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</si>
  <si>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</si>
  <si>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</si>
  <si>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</si>
  <si>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</si>
  <si>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</si>
  <si>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</si>
  <si>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</si>
  <si>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</si>
  <si>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</si>
  <si>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</si>
  <si>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</si>
  <si>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</si>
  <si>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</si>
  <si>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</si>
  <si>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</si>
  <si>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</si>
  <si>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</si>
  <si>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</si>
  <si>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</si>
  <si>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</si>
  <si>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</si>
  <si>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</si>
  <si>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</si>
  <si>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</si>
  <si>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</si>
  <si>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</si>
  <si>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</si>
  <si>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</si>
  <si>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</si>
  <si>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</si>
  <si>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</si>
  <si>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</si>
  <si>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</si>
  <si>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</si>
  <si>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</si>
  <si>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</si>
  <si>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</si>
  <si>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</si>
  <si>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</si>
  <si>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</si>
  <si>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</si>
  <si>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</si>
  <si>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</si>
  <si>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</si>
  <si>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</si>
  <si>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</si>
  <si>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</si>
  <si>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</si>
  <si>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</si>
  <si>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</si>
  <si>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</si>
  <si>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</si>
  <si>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</si>
  <si>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</si>
  <si>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</si>
  <si>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</si>
  <si>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</si>
  <si>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</si>
  <si>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</si>
  <si>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</si>
  <si>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</si>
  <si>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</si>
  <si>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</si>
  <si>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</si>
  <si>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</si>
  <si>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</si>
  <si>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</si>
  <si>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</si>
  <si>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</si>
  <si>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</si>
  <si>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</si>
  <si>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</si>
  <si>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</si>
  <si>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</si>
  <si>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</si>
  <si>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</si>
  <si>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</si>
  <si>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</si>
  <si>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</si>
  <si>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</si>
  <si>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</si>
  <si>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</si>
  <si>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</si>
  <si>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</si>
  <si>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</si>
  <si>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</si>
  <si>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</si>
  <si>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</si>
  <si>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</si>
  <si>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</si>
  <si>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</si>
  <si>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</si>
  <si>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</si>
  <si>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</si>
  <si>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</si>
  <si>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</si>
  <si>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</si>
  <si>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</si>
  <si>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</si>
  <si>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</si>
  <si>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</si>
  <si>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</si>
  <si>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</si>
  <si>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</si>
  <si>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</si>
  <si>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</si>
  <si>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</si>
  <si>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</si>
  <si>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</si>
  <si>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</si>
  <si>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</si>
  <si>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</si>
  <si>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</si>
  <si>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</si>
  <si>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</si>
  <si>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</si>
  <si>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</si>
  <si>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</si>
  <si>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</si>
  <si>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</si>
  <si>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</si>
  <si>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</si>
  <si>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</si>
  <si>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</si>
  <si>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</si>
  <si>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</si>
  <si>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</si>
  <si>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</si>
  <si>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</si>
  <si>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</si>
  <si>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</si>
  <si>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</si>
  <si>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</si>
  <si>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</si>
  <si>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</si>
  <si>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</si>
  <si>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</si>
  <si>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</si>
  <si>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</si>
  <si>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</si>
  <si>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</si>
  <si>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</si>
  <si>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</si>
  <si>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</si>
  <si>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</si>
  <si>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</si>
  <si>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</si>
  <si>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</si>
  <si>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</si>
  <si>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</si>
  <si>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</si>
  <si>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</si>
  <si>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</si>
  <si>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</si>
  <si>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</si>
  <si>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</si>
  <si>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</si>
  <si>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</si>
  <si>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</si>
  <si>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</si>
  <si>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</si>
  <si>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</si>
  <si>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</si>
  <si>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</si>
  <si>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</si>
  <si>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</si>
  <si>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</si>
  <si>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</si>
  <si>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</si>
  <si>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</si>
  <si>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</si>
  <si>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</si>
  <si>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</si>
  <si>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</si>
  <si>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</si>
  <si>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</si>
  <si>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</si>
  <si>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</si>
  <si>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</si>
  <si>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</si>
  <si>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</si>
  <si>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</si>
  <si>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</si>
  <si>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</si>
  <si>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</si>
  <si>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</si>
  <si>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</si>
  <si>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</si>
  <si>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</si>
  <si>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</si>
  <si>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</si>
  <si>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</si>
  <si>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</si>
  <si>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</si>
  <si>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</si>
  <si>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</si>
  <si>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</si>
  <si>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</si>
  <si>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</si>
  <si>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</si>
  <si>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</si>
  <si>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</si>
  <si>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</si>
  <si>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</si>
  <si>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</si>
  <si>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</si>
  <si>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</si>
  <si>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</si>
  <si>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</si>
  <si>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</si>
  <si>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</si>
  <si>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</si>
  <si>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</si>
  <si>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</si>
  <si>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</si>
  <si>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</si>
  <si>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</si>
  <si>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</si>
  <si>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</si>
  <si>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</si>
  <si>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</si>
  <si>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</si>
  <si>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</si>
  <si>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</si>
  <si>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</si>
  <si>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</si>
  <si>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</si>
  <si>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</si>
  <si>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</si>
  <si>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</si>
  <si>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</si>
  <si>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</si>
  <si>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</si>
  <si>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</si>
  <si>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</si>
  <si>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</si>
  <si>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</si>
  <si>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</si>
  <si>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</si>
  <si>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</si>
  <si>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</si>
  <si>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</si>
  <si>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</si>
  <si>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</si>
  <si>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</si>
  <si>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</si>
  <si>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</si>
  <si>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</si>
  <si>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</si>
  <si>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</si>
  <si>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</si>
  <si>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</si>
  <si>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</si>
  <si>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</si>
  <si>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</si>
  <si>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</si>
  <si>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</si>
  <si>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</si>
  <si>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</si>
  <si>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</si>
  <si>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</si>
  <si>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</si>
  <si>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</si>
  <si>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</si>
  <si>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</si>
  <si>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</si>
  <si>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</si>
  <si>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</si>
  <si>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</si>
  <si>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</si>
  <si>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</si>
  <si>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</si>
  <si>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</si>
  <si>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</si>
  <si>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</si>
  <si>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</si>
  <si>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</si>
  <si>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</si>
  <si>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</si>
  <si>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</si>
  <si>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</si>
  <si>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</si>
  <si>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</si>
  <si>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</si>
  <si>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</si>
  <si>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</si>
  <si>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</si>
  <si>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</si>
  <si>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</si>
  <si>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</si>
  <si>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</si>
  <si>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</si>
  <si>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</si>
  <si>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</si>
  <si>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</si>
  <si>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</si>
  <si>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</si>
  <si>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</si>
  <si>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</si>
  <si>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</si>
  <si>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</si>
  <si>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</si>
  <si>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</si>
  <si>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</si>
  <si>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</si>
  <si>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</si>
  <si>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</si>
  <si>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</si>
  <si>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</si>
  <si>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</si>
  <si>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</si>
  <si>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</si>
  <si>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</si>
  <si>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</si>
  <si>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</si>
  <si>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</si>
  <si>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</si>
  <si>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</si>
  <si>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</si>
  <si>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</si>
  <si>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</si>
  <si>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</si>
  <si>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</si>
  <si>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</si>
  <si>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</si>
  <si>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</si>
  <si>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</si>
  <si>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</si>
  <si>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</si>
  <si>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</si>
  <si>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</si>
  <si>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</si>
  <si>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</si>
  <si>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</si>
  <si>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</si>
  <si>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</si>
  <si>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</si>
  <si>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</si>
  <si>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</si>
  <si>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</si>
  <si>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</si>
  <si>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</si>
  <si>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</si>
  <si>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</si>
  <si>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</si>
  <si>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</si>
  <si>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</si>
  <si>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</si>
  <si>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</si>
  <si>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</si>
  <si>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</si>
  <si>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</si>
  <si>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</si>
  <si>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</si>
  <si>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</si>
  <si>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</si>
  <si>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</si>
  <si>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</si>
  <si>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</si>
  <si>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</si>
  <si>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</si>
  <si>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</si>
  <si>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</si>
  <si>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</si>
  <si>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</si>
  <si>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</si>
  <si>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</si>
  <si>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</si>
  <si>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</si>
  <si>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</si>
  <si>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</si>
  <si>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</si>
  <si>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</si>
  <si>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</si>
  <si>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</si>
  <si>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</si>
  <si>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</si>
  <si>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</si>
  <si>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</si>
  <si>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</si>
  <si>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</si>
  <si>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</si>
  <si>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</si>
  <si>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</si>
  <si>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</si>
  <si>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</si>
  <si>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</si>
  <si>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</si>
  <si>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</si>
  <si>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</si>
  <si>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</si>
  <si>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</si>
  <si>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</si>
  <si>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</si>
  <si>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</si>
  <si>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</si>
  <si>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</si>
  <si>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</si>
  <si>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</si>
  <si>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</si>
  <si>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</si>
  <si>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</si>
  <si>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</si>
  <si>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</si>
  <si>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</si>
  <si>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</si>
  <si>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</si>
  <si>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</si>
  <si>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</si>
  <si>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</si>
  <si>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</si>
  <si>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</si>
  <si>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</si>
  <si>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</si>
  <si>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</si>
  <si>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</si>
  <si>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</si>
  <si>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</si>
  <si>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</si>
  <si>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</si>
  <si>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</si>
  <si>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</si>
  <si>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</si>
  <si>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</si>
  <si>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</si>
  <si>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</si>
  <si>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</si>
  <si>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</si>
  <si>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</si>
  <si>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</si>
  <si>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</si>
  <si>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</si>
  <si>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</si>
  <si>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</si>
  <si>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</si>
  <si>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</si>
  <si>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</si>
  <si>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</si>
  <si>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</si>
  <si>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</si>
  <si>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</si>
  <si>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</si>
  <si>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</si>
  <si>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</si>
  <si>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</si>
  <si>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</si>
  <si>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</si>
  <si>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</si>
  <si>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</si>
  <si>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</si>
  <si>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</si>
  <si>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</si>
  <si>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</si>
  <si>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</si>
  <si>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</si>
  <si>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</si>
  <si>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</si>
  <si>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</si>
  <si>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</si>
  <si>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</si>
  <si>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</si>
  <si>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</si>
  <si>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</si>
  <si>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</si>
  <si>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</si>
  <si>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</si>
  <si>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</si>
  <si>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</si>
  <si>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</si>
  <si>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</si>
  <si>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</si>
  <si>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</si>
  <si>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</si>
  <si>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</si>
  <si>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</si>
  <si>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</si>
  <si>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</si>
  <si>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</si>
  <si>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</si>
  <si>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</si>
  <si>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</si>
  <si>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</si>
  <si>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</si>
  <si>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</si>
  <si>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</si>
  <si>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</si>
  <si>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</si>
  <si>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</si>
  <si>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</si>
  <si>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</si>
  <si>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</si>
  <si>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</si>
  <si>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</si>
  <si>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</si>
  <si>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</si>
  <si>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</si>
  <si>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</si>
  <si>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</si>
  <si>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</si>
  <si>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</si>
  <si>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</si>
  <si>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</si>
  <si>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</si>
  <si>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</si>
  <si>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</si>
  <si>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</si>
  <si>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</si>
  <si>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</si>
  <si>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</si>
  <si>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</si>
  <si>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</si>
  <si>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</si>
  <si>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</si>
  <si>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</si>
  <si>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</si>
  <si>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</si>
  <si>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</si>
  <si>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</si>
  <si>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</si>
  <si>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</si>
  <si>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</si>
  <si>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</si>
  <si>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</si>
  <si>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</si>
  <si>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</si>
  <si>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</si>
  <si>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</si>
  <si>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</si>
  <si>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</si>
  <si>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</si>
  <si>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</si>
  <si>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</si>
  <si>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</si>
  <si>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</si>
  <si>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</si>
  <si>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</si>
  <si>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</si>
  <si>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</si>
  <si>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</si>
  <si>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</si>
  <si>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</si>
  <si>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</si>
  <si>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</si>
  <si>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</si>
  <si>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</si>
  <si>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</si>
  <si>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</si>
  <si>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</si>
  <si>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</si>
  <si>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</si>
  <si>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</si>
  <si>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</si>
  <si>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</si>
  <si>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</si>
  <si>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</si>
  <si>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</si>
  <si>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</si>
  <si>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</si>
  <si>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</si>
  <si>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</si>
  <si>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</si>
  <si>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</si>
  <si>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</si>
  <si>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</si>
  <si>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</si>
  <si>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</si>
  <si>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</si>
  <si>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</si>
  <si>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</si>
  <si>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</si>
  <si>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</si>
  <si>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</si>
  <si>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</si>
  <si>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</si>
  <si>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</si>
  <si>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</si>
  <si>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</si>
  <si>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</si>
  <si>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</si>
  <si>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</si>
  <si>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</si>
  <si>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</si>
  <si>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</si>
  <si>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</si>
  <si>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</si>
  <si>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</si>
  <si>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</si>
  <si>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</si>
  <si>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</si>
  <si>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</si>
  <si>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</si>
  <si>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</si>
  <si>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</si>
  <si>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</si>
  <si>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</si>
  <si>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</si>
  <si>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</si>
  <si>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</si>
  <si>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</si>
  <si>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</si>
  <si>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</si>
  <si>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</si>
  <si>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</si>
  <si>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</si>
  <si>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</si>
  <si>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</si>
  <si>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</si>
  <si>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</si>
  <si>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</si>
  <si>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</si>
  <si>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</si>
  <si>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</si>
  <si>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</si>
  <si>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</si>
  <si>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</si>
  <si>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</si>
  <si>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</si>
  <si>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</si>
  <si>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</si>
  <si>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</si>
  <si>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</si>
  <si>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</si>
  <si>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</si>
  <si>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</si>
  <si>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</si>
  <si>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</si>
  <si>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</si>
  <si>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</si>
  <si>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</si>
  <si>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</si>
  <si>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</si>
  <si>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</si>
  <si>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</si>
  <si>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</si>
  <si>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</si>
  <si>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</si>
  <si>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</si>
  <si>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</si>
  <si>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</si>
  <si>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</si>
  <si>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</si>
  <si>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</si>
  <si>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</si>
  <si>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</si>
  <si>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</si>
  <si>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</si>
  <si>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</si>
  <si>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</si>
  <si>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</si>
  <si>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</si>
  <si>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</si>
  <si>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</si>
  <si>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</si>
  <si>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</si>
  <si>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</si>
  <si>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</si>
  <si>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</si>
  <si>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</si>
  <si>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</si>
  <si>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</si>
  <si>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</si>
  <si>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</si>
  <si>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</si>
  <si>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</si>
  <si>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</si>
  <si>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</si>
  <si>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</si>
  <si>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</si>
  <si>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</si>
  <si>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</si>
  <si>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</si>
  <si>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</si>
  <si>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</si>
  <si>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</si>
  <si>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</si>
  <si>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</si>
  <si>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</si>
  <si>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</si>
  <si>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</si>
  <si>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</si>
  <si>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</si>
  <si>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</si>
  <si>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</si>
  <si>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</si>
  <si>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</si>
  <si>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</si>
  <si>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</si>
  <si>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</si>
  <si>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</si>
  <si>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</si>
  <si>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</si>
  <si>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</si>
  <si>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</si>
  <si>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</si>
  <si>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</si>
  <si>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</si>
  <si>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</si>
  <si>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</si>
  <si>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</si>
  <si>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</si>
  <si>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</si>
  <si>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</si>
  <si>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</si>
  <si>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</si>
  <si>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</si>
  <si>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</si>
  <si>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</si>
  <si>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</si>
  <si>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</si>
  <si>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</si>
  <si>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</si>
  <si>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</si>
  <si>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</si>
  <si>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</si>
  <si>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</si>
  <si>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</si>
  <si>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</si>
  <si>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</si>
  <si>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</si>
  <si>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</si>
  <si>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</si>
  <si>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</si>
  <si>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</si>
  <si>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</si>
  <si>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</si>
  <si>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</si>
  <si>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</si>
  <si>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</si>
  <si>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</si>
  <si>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</si>
  <si>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</si>
  <si>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</si>
  <si>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</si>
  <si>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</si>
  <si>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</si>
  <si>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</si>
  <si>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</si>
  <si>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</si>
  <si>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</si>
  <si>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</si>
  <si>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</si>
  <si>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</si>
  <si>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</si>
  <si>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</si>
  <si>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</si>
  <si>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</si>
  <si>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</si>
  <si>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</si>
  <si>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</si>
  <si>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</si>
  <si>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</si>
  <si>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</si>
  <si>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</si>
  <si>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</si>
  <si>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</si>
  <si>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</si>
  <si>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</si>
  <si>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</si>
  <si>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</si>
  <si>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</si>
  <si>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</si>
  <si>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</si>
  <si>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</si>
  <si>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</si>
  <si>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</si>
  <si>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</si>
  <si>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</si>
  <si>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</si>
  <si>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</si>
  <si>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</si>
  <si>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</si>
  <si>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</si>
  <si>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</si>
  <si>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</si>
  <si>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</si>
  <si>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</si>
  <si>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</si>
  <si>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</si>
  <si>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</si>
  <si>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</si>
  <si>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</si>
  <si>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</si>
  <si>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</si>
  <si>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</si>
  <si>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</si>
  <si>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</si>
  <si>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</si>
  <si>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</si>
  <si>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</si>
  <si>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</si>
  <si>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</si>
  <si>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</si>
  <si>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</si>
  <si>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</si>
  <si>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</si>
  <si>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</si>
  <si>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</si>
  <si>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</si>
  <si>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</si>
  <si>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</si>
  <si>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</si>
  <si>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</si>
  <si>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</si>
  <si>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</si>
  <si>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</si>
  <si>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</si>
  <si>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</si>
  <si>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</si>
  <si>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</si>
  <si>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</si>
  <si>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</si>
  <si>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</si>
  <si>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</si>
  <si>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</si>
  <si>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</si>
  <si>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</si>
  <si>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</si>
  <si>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</si>
  <si>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</si>
  <si>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</si>
  <si>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</si>
  <si>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</si>
  <si>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</si>
  <si>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</si>
  <si>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</si>
  <si>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</si>
  <si>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</si>
  <si>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</si>
  <si>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</si>
  <si>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</si>
  <si>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</si>
  <si>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</si>
  <si>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</si>
  <si>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</si>
  <si>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</si>
  <si>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</si>
  <si>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</si>
  <si>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</si>
  <si>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</si>
  <si>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</si>
  <si>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</si>
  <si>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</si>
  <si>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</si>
  <si>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</si>
  <si>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</si>
  <si>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</si>
  <si>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</si>
  <si>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</si>
  <si>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</si>
  <si>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</si>
  <si>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</si>
  <si>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</si>
  <si>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</si>
  <si>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</si>
  <si>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</si>
  <si>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</si>
  <si>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</si>
  <si>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</si>
  <si>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</si>
  <si>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</si>
  <si>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</si>
  <si>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</si>
  <si>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</si>
  <si>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</si>
  <si>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</si>
  <si>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</si>
  <si>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</si>
  <si>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</si>
  <si>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</si>
  <si>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</si>
  <si>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</si>
  <si>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</si>
  <si>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</si>
  <si>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</si>
  <si>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</si>
  <si>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</si>
  <si>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</si>
  <si>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</si>
  <si>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</si>
  <si>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</si>
  <si>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</si>
  <si>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</si>
  <si>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</si>
  <si>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</si>
  <si>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</si>
  <si>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</si>
  <si>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</si>
  <si>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</si>
  <si>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</si>
  <si>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</si>
  <si>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</si>
  <si>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</si>
  <si>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</si>
  <si>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</si>
  <si>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</si>
  <si>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</si>
  <si>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</si>
  <si>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</si>
  <si>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</si>
  <si>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</si>
  <si>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</si>
  <si>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</si>
  <si>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</si>
  <si>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</si>
  <si>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</si>
  <si>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</si>
  <si>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</si>
  <si>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</si>
  <si>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</si>
  <si>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</si>
  <si>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</si>
  <si>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</si>
  <si>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</si>
  <si>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</si>
  <si>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</si>
  <si>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</si>
  <si>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</si>
  <si>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</si>
  <si>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</si>
  <si>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</si>
  <si>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</si>
  <si>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</si>
  <si>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</si>
  <si>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</si>
  <si>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</si>
  <si>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</si>
  <si>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</si>
  <si>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</si>
  <si>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</si>
  <si>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</si>
  <si>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</si>
  <si>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</si>
  <si>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</si>
  <si>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</si>
  <si>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</si>
  <si>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</si>
  <si>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</si>
  <si>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</si>
  <si>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</si>
  <si>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</si>
  <si>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</si>
  <si>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</si>
  <si>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</si>
  <si>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</si>
  <si>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</si>
  <si>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</si>
  <si>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</si>
  <si>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</si>
  <si>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</si>
  <si>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</si>
  <si>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</si>
  <si>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</si>
  <si>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</si>
  <si>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</si>
  <si>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</si>
  <si>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</si>
  <si>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</si>
  <si>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</si>
  <si>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</si>
  <si>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</si>
  <si>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</si>
  <si>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</si>
  <si>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</si>
  <si>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</si>
  <si>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</si>
  <si>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</si>
  <si>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</si>
  <si>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</si>
  <si>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</si>
  <si>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</si>
  <si>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</si>
  <si>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</si>
  <si>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</si>
  <si>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</si>
  <si>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</si>
  <si>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</si>
  <si>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</si>
  <si>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</si>
  <si>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</si>
  <si>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</si>
  <si>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</si>
  <si>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</si>
  <si>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</si>
  <si>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</si>
  <si>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</si>
  <si>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</si>
  <si>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</si>
  <si>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</si>
  <si>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</si>
  <si>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</si>
  <si>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</si>
  <si>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</si>
  <si>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</si>
  <si>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</si>
  <si>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</si>
  <si>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</si>
  <si>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</si>
  <si>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</si>
  <si>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</si>
  <si>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</si>
  <si>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</si>
  <si>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</si>
  <si>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</si>
  <si>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</si>
  <si>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</si>
  <si>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</si>
  <si>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</si>
  <si>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</si>
  <si>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</si>
  <si>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</si>
  <si>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</si>
  <si>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</si>
  <si>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</si>
  <si>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</si>
  <si>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</si>
  <si>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</si>
  <si>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</si>
  <si>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</si>
  <si>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</si>
  <si>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</si>
  <si>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</si>
  <si>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</si>
  <si>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</si>
  <si>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</si>
  <si>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</si>
  <si>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</si>
  <si>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</si>
  <si>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</si>
  <si>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</si>
  <si>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</si>
  <si>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</si>
  <si>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</si>
  <si>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</si>
  <si>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</si>
  <si>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</si>
  <si>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</si>
  <si>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</si>
  <si>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</si>
  <si>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</si>
  <si>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</si>
  <si>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</si>
  <si>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</si>
  <si>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</si>
  <si>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</si>
  <si>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</si>
  <si>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</si>
  <si>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</si>
  <si>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</si>
  <si>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</si>
  <si>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</si>
  <si>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</si>
  <si>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</si>
  <si>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</si>
  <si>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</si>
  <si>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</si>
  <si>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</si>
  <si>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</si>
  <si>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</si>
  <si>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</si>
  <si>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</si>
  <si>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</si>
  <si>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</si>
  <si>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</si>
  <si>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</si>
  <si>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</si>
  <si>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</si>
  <si>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</si>
  <si>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</si>
  <si>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</si>
  <si>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</si>
  <si>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</si>
  <si>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</si>
  <si>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</si>
  <si>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</si>
  <si>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</si>
  <si>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</si>
  <si>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</si>
  <si>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</si>
  <si>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</si>
  <si>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</si>
  <si>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</si>
  <si>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</si>
  <si>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</si>
  <si>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</si>
  <si>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</si>
  <si>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</si>
  <si>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</si>
  <si>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</si>
  <si>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</si>
  <si>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</si>
  <si>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</si>
  <si>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</si>
  <si>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</si>
  <si>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</si>
  <si>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</si>
  <si>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</si>
  <si>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</si>
  <si>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</si>
  <si>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</si>
  <si>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</si>
  <si>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</si>
  <si>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</si>
  <si>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</si>
  <si>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</si>
  <si>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</si>
  <si>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</si>
  <si>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</si>
  <si>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</si>
  <si>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</si>
  <si>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</si>
  <si>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</si>
  <si>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</si>
  <si>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</si>
  <si>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</si>
  <si>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</si>
  <si>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</si>
  <si>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</si>
  <si>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</si>
  <si>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</si>
  <si>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</si>
  <si>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</si>
  <si>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</si>
  <si>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</si>
  <si>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</si>
  <si>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</si>
  <si>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</si>
  <si>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</si>
  <si>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</si>
  <si>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</si>
  <si>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</si>
  <si>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</si>
  <si>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</si>
  <si>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</si>
  <si>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</si>
  <si>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</si>
  <si>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</si>
  <si>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</si>
  <si>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</si>
  <si>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</si>
  <si>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</si>
  <si>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</si>
  <si>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</si>
  <si>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</si>
  <si>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</si>
  <si>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</si>
  <si>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</si>
  <si>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</si>
  <si>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</si>
  <si>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</si>
  <si>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</si>
  <si>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</si>
  <si>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</si>
  <si>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</si>
  <si>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</si>
  <si>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</si>
  <si>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</si>
  <si>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</si>
  <si>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</si>
  <si>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</si>
  <si>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</si>
  <si>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</si>
  <si>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</si>
  <si>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</si>
  <si>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</si>
  <si>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</si>
  <si>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</si>
  <si>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</si>
  <si>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</si>
  <si>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</si>
  <si>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</si>
  <si>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</si>
  <si>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</si>
  <si>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</si>
  <si>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</si>
  <si>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</si>
  <si>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</si>
  <si>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</si>
  <si>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</si>
  <si>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</si>
  <si>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</si>
  <si>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</si>
  <si>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</si>
  <si>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</si>
  <si>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</si>
  <si>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</si>
  <si>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</si>
  <si>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</si>
  <si>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</si>
  <si>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</si>
  <si>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</si>
  <si>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</si>
  <si>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</si>
  <si>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</si>
  <si>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</si>
  <si>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</si>
  <si>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</si>
  <si>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</si>
  <si>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</si>
  <si>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</si>
  <si>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</si>
  <si>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</si>
  <si>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</si>
  <si>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</si>
  <si>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</si>
  <si>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</si>
  <si>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</si>
  <si>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</si>
  <si>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</si>
  <si>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</si>
  <si>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</si>
  <si>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</si>
  <si>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</si>
  <si>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</si>
  <si>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</si>
  <si>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</si>
  <si>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</si>
  <si>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</si>
  <si>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</si>
  <si>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</si>
  <si>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</si>
  <si>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</si>
  <si>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</si>
  <si>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</si>
  <si>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</si>
  <si>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</si>
  <si>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</si>
  <si>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</si>
  <si>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</si>
  <si>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</si>
  <si>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</si>
  <si>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</si>
  <si>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</si>
  <si>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</si>
  <si>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</si>
  <si>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</si>
  <si>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</si>
  <si>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</si>
  <si>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</si>
  <si>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</si>
  <si>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</si>
  <si>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</si>
  <si>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</si>
  <si>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</si>
  <si>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</si>
  <si>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</si>
  <si>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</si>
  <si>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</si>
  <si>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</si>
  <si>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</si>
  <si>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</si>
  <si>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</si>
  <si>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</si>
  <si>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</si>
  <si>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</si>
  <si>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</si>
  <si>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</si>
  <si>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</si>
  <si>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</si>
  <si>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</si>
  <si>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</si>
  <si>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</si>
  <si>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</si>
  <si>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</si>
  <si>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</si>
  <si>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</si>
  <si>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</si>
  <si>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</si>
  <si>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</si>
  <si>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</si>
  <si>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</si>
  <si>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</si>
  <si>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</si>
  <si>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</si>
  <si>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</si>
  <si>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</si>
  <si>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</si>
  <si>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</si>
  <si>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</si>
  <si>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</si>
  <si>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</si>
  <si>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</si>
  <si>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</si>
  <si>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</si>
  <si>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</si>
  <si>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</si>
  <si>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</si>
  <si>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</si>
  <si>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</si>
  <si>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</si>
  <si>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</si>
  <si>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</si>
  <si>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</si>
  <si>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</si>
  <si>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</si>
  <si>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</si>
  <si>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</si>
  <si>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</si>
  <si>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</si>
  <si>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</si>
  <si>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</si>
  <si>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</si>
  <si>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</si>
  <si>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</si>
  <si>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</si>
  <si>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</si>
  <si>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</si>
  <si>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</si>
  <si>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</si>
  <si>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</si>
  <si>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</si>
  <si>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</si>
  <si>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</si>
  <si>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</si>
  <si>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</si>
  <si>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</si>
  <si>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</si>
  <si>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</si>
  <si>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</si>
  <si>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</si>
  <si>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</si>
  <si>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</si>
  <si>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</si>
  <si>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</si>
  <si>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</si>
  <si>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</si>
  <si>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</si>
  <si>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</si>
  <si>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</si>
  <si>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</si>
  <si>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</si>
  <si>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</si>
  <si>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</si>
  <si>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</si>
  <si>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</si>
  <si>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</si>
  <si>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</si>
  <si>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</si>
  <si>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</si>
  <si>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</si>
  <si>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</si>
  <si>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</si>
  <si>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</si>
  <si>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</si>
  <si>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</si>
  <si>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</si>
  <si>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</si>
  <si>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</si>
  <si>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</si>
  <si>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</si>
  <si>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</si>
  <si>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</si>
  <si>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</si>
  <si>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</si>
  <si>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</si>
  <si>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</si>
  <si>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</si>
  <si>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</si>
  <si>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</si>
  <si>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</si>
  <si>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</si>
  <si>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</si>
  <si>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</si>
  <si>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</si>
  <si>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</si>
  <si>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</si>
  <si>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</si>
  <si>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</si>
  <si>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</si>
  <si>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</si>
  <si>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</si>
  <si>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</si>
  <si>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</si>
  <si>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</si>
  <si>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</si>
  <si>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</si>
  <si>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</si>
  <si>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</si>
  <si>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г. Пермь, ул. Академика Королева, д. 6</t>
  </si>
  <si>
    <t>дерево, двойной раздельный</t>
  </si>
  <si>
    <t>Временно исполняющий обязанности
губернатора Пермского края</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</si>
</sst>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7">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144" fillId="0" borderId="1" xfId="0" applyFont="1" applyBorder="1" applyAlignment="1" applyProtection="1">
      <alignment horizontal="center" vertical="center" wrapText="1"/>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4" xfId="0" applyFont="1" applyFill="1" applyBorder="1" applyAlignment="1" applyProtection="1">
      <alignment horizontal="left" vertical="center" wrapText="1"/>
      <protection hidden="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93" fillId="20" borderId="13" xfId="0" applyFont="1" applyFill="1" applyBorder="1" applyAlignment="1">
      <alignment horizontal="left" vertical="top" wrapText="1"/>
    </xf>
    <xf numFmtId="0" fontId="201" fillId="0" borderId="1" xfId="0" applyFont="1" applyBorder="1" applyAlignment="1">
      <alignment horizontal="left" vertical="center" wrapText="1" indent="2"/>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29" xfId="0" applyFont="1" applyFill="1" applyBorder="1" applyAlignment="1" applyProtection="1">
      <alignment horizontal="center" vertical="center" wrapText="1"/>
      <protection hidden="1"/>
    </xf>
    <xf numFmtId="0" fontId="12" fillId="20" borderId="13" xfId="0" applyFont="1" applyFill="1" applyBorder="1" applyAlignment="1">
      <alignment horizontal="center" wrapText="1"/>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0" fillId="21" borderId="104" xfId="0"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0" fontId="30" fillId="20" borderId="0" xfId="0" applyFont="1" applyFill="1" applyAlignment="1" applyProtection="1">
      <alignment horizontal="left" wrapText="1"/>
      <protection hidden="1"/>
    </xf>
    <xf numFmtId="0" fontId="12" fillId="20" borderId="0" xfId="0" applyFont="1" applyFill="1" applyAlignment="1" applyProtection="1">
      <alignment horizontal="center"/>
      <protection hidden="1"/>
    </xf>
    <xf numFmtId="0" fontId="201" fillId="2" borderId="1" xfId="0" applyFont="1" applyFill="1" applyBorder="1" applyAlignment="1">
      <alignment horizontal="left" vertical="center" wrapText="1" indent="2"/>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30" fillId="36" borderId="4" xfId="0" applyFont="1" applyFill="1" applyBorder="1" applyAlignment="1" applyProtection="1">
      <alignment horizontal="center" vertic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201" fillId="0" borderId="1" xfId="0" applyFont="1" applyBorder="1" applyAlignment="1" applyProtection="1">
      <alignment horizontal="left" vertical="center" wrapText="1" indent="2"/>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0" fillId="20" borderId="1" xfId="0" applyFont="1" applyFill="1" applyBorder="1" applyAlignment="1" applyProtection="1">
      <alignment horizontal="center"/>
      <protection hidden="1"/>
    </xf>
    <xf numFmtId="0" fontId="7" fillId="0" borderId="1" xfId="0" applyFont="1" applyBorder="1" applyAlignment="1">
      <alignment horizontal="left"/>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200" fillId="20" borderId="0" xfId="0" applyFont="1" applyFill="1" applyAlignment="1" applyProtection="1">
      <alignment horizontal="center" vertical="center" wrapText="1"/>
      <protection hidden="1"/>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201" fillId="0" borderId="1" xfId="0" applyFont="1" applyBorder="1" applyAlignment="1">
      <alignment horizontal="left" vertical="center" indent="2"/>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0" fontId="52" fillId="20" borderId="0" xfId="0" applyFont="1" applyFill="1" applyAlignment="1" applyProtection="1">
      <alignment horizontal="center" vertical="center" wrapText="1"/>
      <protection hidden="1"/>
    </xf>
    <xf numFmtId="0" fontId="31" fillId="36" borderId="11"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29" fillId="36" borderId="11"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7" fillId="0" borderId="0" xfId="0" applyFont="1" applyAlignment="1" applyProtection="1">
      <alignment horizontal="center" wrapText="1"/>
      <protection locked="0" hidden="1"/>
    </xf>
    <xf numFmtId="1" fontId="29" fillId="36" borderId="4" xfId="0" applyNumberFormat="1" applyFont="1" applyFill="1" applyBorder="1" applyAlignment="1" applyProtection="1">
      <alignment horizontal="center" vertical="center"/>
      <protection locked="0"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0" fontId="52" fillId="36" borderId="0" xfId="0" applyFont="1" applyFill="1" applyAlignment="1" applyProtection="1">
      <alignment horizontal="center"/>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109" fillId="2" borderId="0" xfId="10" applyFont="1" applyFill="1" applyBorder="1" applyAlignment="1" applyProtection="1">
      <alignment horizontal="center" vertical="center"/>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0" fontId="30" fillId="20" borderId="0" xfId="0" applyFont="1" applyFill="1" applyAlignment="1" applyProtection="1">
      <alignment horizont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4" fontId="35" fillId="21" borderId="97" xfId="11" applyNumberFormat="1" applyFont="1" applyFill="1" applyBorder="1" applyAlignment="1" applyProtection="1">
      <alignment horizontal="right"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5"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4" fontId="35" fillId="21" borderId="99"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177" fillId="5" borderId="7" xfId="11" applyFont="1" applyFill="1" applyBorder="1" applyAlignment="1" applyProtection="1">
      <alignment horizontal="center" vertical="center" wrapText="1"/>
      <protection hidden="1"/>
    </xf>
    <xf numFmtId="0" fontId="30" fillId="20" borderId="0" xfId="0" applyFont="1" applyFill="1" applyBorder="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wrapText="1"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indent="1"/>
      <protection hidden="1"/>
    </xf>
    <xf numFmtId="0" fontId="171" fillId="0" borderId="4" xfId="0" applyNumberFormat="1"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protection hidden="1"/>
    </xf>
    <xf numFmtId="0" fontId="171" fillId="0" borderId="4"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66" fillId="0" borderId="4"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protection hidden="1"/>
    </xf>
    <xf numFmtId="0" fontId="66" fillId="0" borderId="4" xfId="0" applyNumberFormat="1"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66" fillId="0" borderId="4" xfId="0" applyFont="1" applyFill="1" applyBorder="1" applyAlignment="1" applyProtection="1">
      <alignment vertical="center" wrapText="1"/>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0" fontId="169" fillId="0" borderId="4" xfId="0" applyFont="1" applyFill="1" applyBorder="1" applyAlignment="1" applyProtection="1">
      <alignment horizontal="center" vertical="center"/>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protection hidden="1"/>
    </xf>
    <xf numFmtId="0" fontId="30" fillId="2" borderId="0" xfId="0" applyFont="1" applyFill="1" applyBorder="1" applyAlignment="1" applyProtection="1">
      <alignment horizontal="center"/>
      <protection hidden="1"/>
    </xf>
    <xf numFmtId="3" fontId="179" fillId="0"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0" borderId="104" xfId="0" applyFont="1" applyBorder="1" applyAlignment="1" applyProtection="1">
      <alignment horizontal="center" vertical="center"/>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5" fillId="21" borderId="5" xfId="0" applyFont="1" applyFill="1" applyBorder="1" applyAlignment="1" applyProtection="1">
      <alignment horizontal="center" vertical="center"/>
      <protection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33" fillId="26" borderId="0" xfId="0" applyFont="1" applyFill="1" applyBorder="1" applyAlignment="1" applyProtection="1">
      <alignment horizontal="left" vertical="top"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48" fillId="0" borderId="65" xfId="0" applyFont="1" applyBorder="1" applyAlignment="1" applyProtection="1">
      <alignment horizontal="center" vertical="center"/>
      <protection hidden="1"/>
    </xf>
    <xf numFmtId="0" fontId="48" fillId="0" borderId="66"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0" borderId="4" xfId="0" applyNumberFormat="1" applyFont="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2" fontId="26" fillId="0" borderId="4" xfId="0" applyNumberFormat="1" applyFont="1" applyBorder="1" applyAlignment="1" applyProtection="1">
      <alignment horizontal="right" vertical="center" wrapText="1" indent="7"/>
      <protection hidden="1"/>
    </xf>
    <xf numFmtId="2" fontId="26" fillId="0" borderId="4" xfId="0" applyNumberFormat="1" applyFont="1" applyBorder="1" applyAlignment="1" applyProtection="1">
      <alignment horizontal="right" vertical="center" wrapText="1"/>
      <protection hidden="1"/>
    </xf>
    <xf numFmtId="2" fontId="43" fillId="0" borderId="4" xfId="0" applyNumberFormat="1" applyFont="1" applyBorder="1" applyAlignment="1" applyProtection="1">
      <alignment horizontal="right" vertical="center" wrapText="1" indent="15"/>
      <protection hidden="1"/>
    </xf>
    <xf numFmtId="2" fontId="48" fillId="0" borderId="4" xfId="0" applyNumberFormat="1" applyFont="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43" fillId="6" borderId="4" xfId="0" applyNumberFormat="1" applyFont="1" applyFill="1" applyBorder="1" applyAlignment="1" applyProtection="1">
      <alignment horizontal="right" vertical="center" wrapText="1" indent="15"/>
      <protection hidden="1"/>
    </xf>
    <xf numFmtId="2" fontId="43" fillId="0" borderId="4" xfId="0" applyNumberFormat="1" applyFont="1" applyBorder="1" applyAlignment="1" applyProtection="1">
      <alignment horizontal="right" vertical="center" wrapText="1" indent="11"/>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3" fillId="28" borderId="4" xfId="0" applyNumberFormat="1" applyFont="1" applyFill="1" applyBorder="1" applyAlignment="1" applyProtection="1">
      <alignment horizontal="right" vertical="center" wrapText="1" indent="15"/>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0" fontId="14" fillId="0" borderId="1" xfId="0" applyFont="1" applyBorder="1" applyAlignment="1">
      <alignment horizontal="left"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7">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FF0000"/>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5F42-4E97-9514-DB14CDF7EBE8}"/>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3.4169742898780886E-2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5F42-4E97-9514-DB14CDF7EBE8}"/>
            </c:ext>
          </c:extLst>
        </c:ser>
        <c:dLbls>
          <c:showLegendKey val="0"/>
          <c:showVal val="0"/>
          <c:showCatName val="0"/>
          <c:showSerName val="0"/>
          <c:showPercent val="0"/>
          <c:showBubbleSize val="0"/>
        </c:dLbls>
        <c:gapWidth val="0"/>
        <c:overlap val="100"/>
        <c:axId val="195389552"/>
        <c:axId val="1953901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1.9823257080610023E-2</c:v>
                </c:pt>
                <c:pt idx="1">
                  <c:v>1.9823257080610023E-2</c:v>
                </c:pt>
                <c:pt idx="2">
                  <c:v>1.9823257080610023E-2</c:v>
                </c:pt>
                <c:pt idx="3">
                  <c:v>1.9823257080610023E-2</c:v>
                </c:pt>
                <c:pt idx="4">
                  <c:v>1.9823257080610023E-2</c:v>
                </c:pt>
                <c:pt idx="5">
                  <c:v>1.9823257080610023E-2</c:v>
                </c:pt>
                <c:pt idx="6">
                  <c:v>1.9823257080610023E-2</c:v>
                </c:pt>
                <c:pt idx="7">
                  <c:v>1.9823257080610023E-2</c:v>
                </c:pt>
                <c:pt idx="8">
                  <c:v>1.9823257080610023E-2</c:v>
                </c:pt>
                <c:pt idx="9">
                  <c:v>1.9823257080610023E-2</c:v>
                </c:pt>
                <c:pt idx="10">
                  <c:v>1.9823257080610023E-2</c:v>
                </c:pt>
                <c:pt idx="11">
                  <c:v>1.9823257080610023E-2</c:v>
                </c:pt>
                <c:pt idx="12">
                  <c:v>1.9823257080610023E-2</c:v>
                </c:pt>
                <c:pt idx="13">
                  <c:v>1.9823257080610023E-2</c:v>
                </c:pt>
                <c:pt idx="14">
                  <c:v>1.9823257080610023E-2</c:v>
                </c:pt>
                <c:pt idx="15">
                  <c:v>1.9823257080610023E-2</c:v>
                </c:pt>
                <c:pt idx="16">
                  <c:v>1.9823257080610023E-2</c:v>
                </c:pt>
                <c:pt idx="17">
                  <c:v>1.9823257080610023E-2</c:v>
                </c:pt>
                <c:pt idx="18">
                  <c:v>1.9823257080610023E-2</c:v>
                </c:pt>
                <c:pt idx="19">
                  <c:v>1.9823257080610023E-2</c:v>
                </c:pt>
                <c:pt idx="20">
                  <c:v>1.9823257080610023E-2</c:v>
                </c:pt>
                <c:pt idx="21">
                  <c:v>1.9823257080610023E-2</c:v>
                </c:pt>
                <c:pt idx="22">
                  <c:v>1.9823257080610023E-2</c:v>
                </c:pt>
                <c:pt idx="23">
                  <c:v>1.9823257080610023E-2</c:v>
                </c:pt>
                <c:pt idx="24">
                  <c:v>1.9823257080610023E-2</c:v>
                </c:pt>
                <c:pt idx="25">
                  <c:v>1.9823257080610023E-2</c:v>
                </c:pt>
                <c:pt idx="26">
                  <c:v>1.9823257080610023E-2</c:v>
                </c:pt>
                <c:pt idx="27">
                  <c:v>1.9823257080610023E-2</c:v>
                </c:pt>
                <c:pt idx="28">
                  <c:v>1.9823257080610023E-2</c:v>
                </c:pt>
                <c:pt idx="29">
                  <c:v>1.9823257080610023E-2</c:v>
                </c:pt>
                <c:pt idx="30">
                  <c:v>1.9823257080610023E-2</c:v>
                </c:pt>
                <c:pt idx="31">
                  <c:v>1.9823257080610023E-2</c:v>
                </c:pt>
                <c:pt idx="32">
                  <c:v>1.9823257080610023E-2</c:v>
                </c:pt>
                <c:pt idx="33">
                  <c:v>1.9823257080610023E-2</c:v>
                </c:pt>
                <c:pt idx="34">
                  <c:v>1.9823257080610023E-2</c:v>
                </c:pt>
                <c:pt idx="35">
                  <c:v>1.9823257080610023E-2</c:v>
                </c:pt>
                <c:pt idx="36">
                  <c:v>1.9823257080610023E-2</c:v>
                </c:pt>
                <c:pt idx="37">
                  <c:v>1.9823257080610023E-2</c:v>
                </c:pt>
                <c:pt idx="38">
                  <c:v>1.9823257080610023E-2</c:v>
                </c:pt>
                <c:pt idx="39">
                  <c:v>1.9823257080610023E-2</c:v>
                </c:pt>
                <c:pt idx="40">
                  <c:v>1.9823257080610023E-2</c:v>
                </c:pt>
                <c:pt idx="41">
                  <c:v>1.9823257080610023E-2</c:v>
                </c:pt>
                <c:pt idx="42">
                  <c:v>1.9823257080610023E-2</c:v>
                </c:pt>
                <c:pt idx="43">
                  <c:v>1.9823257080610023E-2</c:v>
                </c:pt>
                <c:pt idx="44">
                  <c:v>1.9823257080610023E-2</c:v>
                </c:pt>
                <c:pt idx="45">
                  <c:v>1.9823257080610023E-2</c:v>
                </c:pt>
                <c:pt idx="46">
                  <c:v>1.9823257080610023E-2</c:v>
                </c:pt>
                <c:pt idx="47">
                  <c:v>1.9823257080610023E-2</c:v>
                </c:pt>
                <c:pt idx="48">
                  <c:v>1.9823257080610023E-2</c:v>
                </c:pt>
                <c:pt idx="49">
                  <c:v>1.9823257080610023E-2</c:v>
                </c:pt>
                <c:pt idx="50">
                  <c:v>1.9823257080610023E-2</c:v>
                </c:pt>
                <c:pt idx="51">
                  <c:v>1.9823257080610023E-2</c:v>
                </c:pt>
                <c:pt idx="52">
                  <c:v>1.9823257080610023E-2</c:v>
                </c:pt>
                <c:pt idx="53">
                  <c:v>1.9823257080610023E-2</c:v>
                </c:pt>
                <c:pt idx="54">
                  <c:v>1.9823257080610023E-2</c:v>
                </c:pt>
                <c:pt idx="55">
                  <c:v>1.9823257080610023E-2</c:v>
                </c:pt>
                <c:pt idx="56">
                  <c:v>1.9823257080610023E-2</c:v>
                </c:pt>
                <c:pt idx="57">
                  <c:v>1.9823257080610023E-2</c:v>
                </c:pt>
                <c:pt idx="58">
                  <c:v>1.9823257080610023E-2</c:v>
                </c:pt>
                <c:pt idx="59">
                  <c:v>1.9823257080610023E-2</c:v>
                </c:pt>
                <c:pt idx="60">
                  <c:v>1.9823257080610023E-2</c:v>
                </c:pt>
                <c:pt idx="61">
                  <c:v>1.9823257080610023E-2</c:v>
                </c:pt>
                <c:pt idx="62">
                  <c:v>1.9823257080610023E-2</c:v>
                </c:pt>
                <c:pt idx="63">
                  <c:v>1.9823257080610023E-2</c:v>
                </c:pt>
                <c:pt idx="64">
                  <c:v>1.9823257080610023E-2</c:v>
                </c:pt>
                <c:pt idx="65">
                  <c:v>1.9823257080610023E-2</c:v>
                </c:pt>
                <c:pt idx="66">
                  <c:v>1.9823257080610023E-2</c:v>
                </c:pt>
                <c:pt idx="67">
                  <c:v>1.9823257080610023E-2</c:v>
                </c:pt>
                <c:pt idx="68">
                  <c:v>1.9823257080610023E-2</c:v>
                </c:pt>
                <c:pt idx="69">
                  <c:v>1.9823257080610023E-2</c:v>
                </c:pt>
                <c:pt idx="70">
                  <c:v>1.9823257080610023E-2</c:v>
                </c:pt>
                <c:pt idx="71">
                  <c:v>1.9823257080610023E-2</c:v>
                </c:pt>
                <c:pt idx="72">
                  <c:v>1.9823257080610023E-2</c:v>
                </c:pt>
                <c:pt idx="73">
                  <c:v>1.9823257080610023E-2</c:v>
                </c:pt>
                <c:pt idx="74">
                  <c:v>1.9823257080610023E-2</c:v>
                </c:pt>
                <c:pt idx="75">
                  <c:v>1.9823257080610023E-2</c:v>
                </c:pt>
                <c:pt idx="76">
                  <c:v>1.9823257080610023E-2</c:v>
                </c:pt>
                <c:pt idx="77">
                  <c:v>1.9823257080610023E-2</c:v>
                </c:pt>
                <c:pt idx="78">
                  <c:v>1.9823257080610023E-2</c:v>
                </c:pt>
                <c:pt idx="79">
                  <c:v>1.9823257080610023E-2</c:v>
                </c:pt>
                <c:pt idx="80">
                  <c:v>1.9823257080610023E-2</c:v>
                </c:pt>
                <c:pt idx="81">
                  <c:v>1.9823257080610023E-2</c:v>
                </c:pt>
                <c:pt idx="82">
                  <c:v>1.9823257080610023E-2</c:v>
                </c:pt>
                <c:pt idx="83">
                  <c:v>1.9823257080610023E-2</c:v>
                </c:pt>
                <c:pt idx="84">
                  <c:v>1.9823257080610023E-2</c:v>
                </c:pt>
                <c:pt idx="85">
                  <c:v>1.9823257080610023E-2</c:v>
                </c:pt>
                <c:pt idx="86">
                  <c:v>1.9823257080610023E-2</c:v>
                </c:pt>
                <c:pt idx="87">
                  <c:v>1.9823257080610023E-2</c:v>
                </c:pt>
                <c:pt idx="88">
                  <c:v>1.9823257080610023E-2</c:v>
                </c:pt>
                <c:pt idx="89">
                  <c:v>1.9823257080610023E-2</c:v>
                </c:pt>
                <c:pt idx="90">
                  <c:v>1.9823257080610023E-2</c:v>
                </c:pt>
                <c:pt idx="91">
                  <c:v>1.9823257080610023E-2</c:v>
                </c:pt>
                <c:pt idx="92">
                  <c:v>1.9823257080610023E-2</c:v>
                </c:pt>
                <c:pt idx="93">
                  <c:v>1.9823257080610023E-2</c:v>
                </c:pt>
                <c:pt idx="94">
                  <c:v>1.9823257080610023E-2</c:v>
                </c:pt>
                <c:pt idx="95">
                  <c:v>1.9823257080610023E-2</c:v>
                </c:pt>
                <c:pt idx="96">
                  <c:v>1.9823257080610023E-2</c:v>
                </c:pt>
                <c:pt idx="97">
                  <c:v>1.9823257080610023E-2</c:v>
                </c:pt>
                <c:pt idx="98">
                  <c:v>1.9823257080610023E-2</c:v>
                </c:pt>
                <c:pt idx="99">
                  <c:v>1.9823257080610023E-2</c:v>
                </c:pt>
              </c:numCache>
            </c:numRef>
          </c:val>
          <c:smooth val="0"/>
          <c:extLst xmlns:c16r2="http://schemas.microsoft.com/office/drawing/2015/06/chart">
            <c:ext xmlns:c16="http://schemas.microsoft.com/office/drawing/2014/chart" uri="{C3380CC4-5D6E-409C-BE32-E72D297353CC}">
              <c16:uniqueId val="{00000002-5F42-4E97-9514-DB14CDF7EBE8}"/>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7.929302832244009E-3</c:v>
                </c:pt>
                <c:pt idx="1">
                  <c:v>7.929302832244009E-3</c:v>
                </c:pt>
                <c:pt idx="2">
                  <c:v>7.929302832244009E-3</c:v>
                </c:pt>
                <c:pt idx="3">
                  <c:v>7.929302832244009E-3</c:v>
                </c:pt>
                <c:pt idx="4">
                  <c:v>7.929302832244009E-3</c:v>
                </c:pt>
                <c:pt idx="5">
                  <c:v>7.929302832244009E-3</c:v>
                </c:pt>
                <c:pt idx="6">
                  <c:v>7.929302832244009E-3</c:v>
                </c:pt>
                <c:pt idx="7">
                  <c:v>7.929302832244009E-3</c:v>
                </c:pt>
                <c:pt idx="8">
                  <c:v>7.929302832244009E-3</c:v>
                </c:pt>
                <c:pt idx="9">
                  <c:v>7.929302832244009E-3</c:v>
                </c:pt>
                <c:pt idx="10">
                  <c:v>7.929302832244009E-3</c:v>
                </c:pt>
                <c:pt idx="11">
                  <c:v>7.929302832244009E-3</c:v>
                </c:pt>
                <c:pt idx="12">
                  <c:v>7.929302832244009E-3</c:v>
                </c:pt>
                <c:pt idx="13">
                  <c:v>7.929302832244009E-3</c:v>
                </c:pt>
                <c:pt idx="14">
                  <c:v>7.929302832244009E-3</c:v>
                </c:pt>
                <c:pt idx="15">
                  <c:v>7.929302832244009E-3</c:v>
                </c:pt>
                <c:pt idx="16">
                  <c:v>7.929302832244009E-3</c:v>
                </c:pt>
                <c:pt idx="17">
                  <c:v>7.929302832244009E-3</c:v>
                </c:pt>
                <c:pt idx="18">
                  <c:v>7.929302832244009E-3</c:v>
                </c:pt>
                <c:pt idx="19">
                  <c:v>7.929302832244009E-3</c:v>
                </c:pt>
                <c:pt idx="20">
                  <c:v>7.929302832244009E-3</c:v>
                </c:pt>
                <c:pt idx="21">
                  <c:v>7.929302832244009E-3</c:v>
                </c:pt>
                <c:pt idx="22">
                  <c:v>7.929302832244009E-3</c:v>
                </c:pt>
                <c:pt idx="23">
                  <c:v>7.929302832244009E-3</c:v>
                </c:pt>
                <c:pt idx="24">
                  <c:v>7.929302832244009E-3</c:v>
                </c:pt>
                <c:pt idx="25">
                  <c:v>7.929302832244009E-3</c:v>
                </c:pt>
                <c:pt idx="26">
                  <c:v>7.929302832244009E-3</c:v>
                </c:pt>
                <c:pt idx="27">
                  <c:v>7.929302832244009E-3</c:v>
                </c:pt>
                <c:pt idx="28">
                  <c:v>7.929302832244009E-3</c:v>
                </c:pt>
                <c:pt idx="29">
                  <c:v>7.929302832244009E-3</c:v>
                </c:pt>
                <c:pt idx="30">
                  <c:v>7.929302832244009E-3</c:v>
                </c:pt>
                <c:pt idx="31">
                  <c:v>7.929302832244009E-3</c:v>
                </c:pt>
                <c:pt idx="32">
                  <c:v>7.929302832244009E-3</c:v>
                </c:pt>
                <c:pt idx="33">
                  <c:v>7.929302832244009E-3</c:v>
                </c:pt>
                <c:pt idx="34">
                  <c:v>7.929302832244009E-3</c:v>
                </c:pt>
                <c:pt idx="35">
                  <c:v>7.929302832244009E-3</c:v>
                </c:pt>
                <c:pt idx="36">
                  <c:v>7.929302832244009E-3</c:v>
                </c:pt>
                <c:pt idx="37">
                  <c:v>7.929302832244009E-3</c:v>
                </c:pt>
                <c:pt idx="38">
                  <c:v>7.929302832244009E-3</c:v>
                </c:pt>
                <c:pt idx="39">
                  <c:v>7.929302832244009E-3</c:v>
                </c:pt>
                <c:pt idx="40">
                  <c:v>7.929302832244009E-3</c:v>
                </c:pt>
                <c:pt idx="41">
                  <c:v>7.929302832244009E-3</c:v>
                </c:pt>
                <c:pt idx="42">
                  <c:v>7.929302832244009E-3</c:v>
                </c:pt>
                <c:pt idx="43">
                  <c:v>7.929302832244009E-3</c:v>
                </c:pt>
                <c:pt idx="44">
                  <c:v>7.929302832244009E-3</c:v>
                </c:pt>
                <c:pt idx="45">
                  <c:v>7.929302832244009E-3</c:v>
                </c:pt>
                <c:pt idx="46">
                  <c:v>7.929302832244009E-3</c:v>
                </c:pt>
                <c:pt idx="47">
                  <c:v>7.929302832244009E-3</c:v>
                </c:pt>
                <c:pt idx="48">
                  <c:v>7.929302832244009E-3</c:v>
                </c:pt>
                <c:pt idx="49">
                  <c:v>7.929302832244009E-3</c:v>
                </c:pt>
                <c:pt idx="50">
                  <c:v>7.929302832244009E-3</c:v>
                </c:pt>
                <c:pt idx="51">
                  <c:v>7.929302832244009E-3</c:v>
                </c:pt>
                <c:pt idx="52">
                  <c:v>7.929302832244009E-3</c:v>
                </c:pt>
                <c:pt idx="53">
                  <c:v>7.929302832244009E-3</c:v>
                </c:pt>
                <c:pt idx="54">
                  <c:v>7.929302832244009E-3</c:v>
                </c:pt>
                <c:pt idx="55">
                  <c:v>7.929302832244009E-3</c:v>
                </c:pt>
                <c:pt idx="56">
                  <c:v>7.929302832244009E-3</c:v>
                </c:pt>
                <c:pt idx="57">
                  <c:v>7.929302832244009E-3</c:v>
                </c:pt>
                <c:pt idx="58">
                  <c:v>7.929302832244009E-3</c:v>
                </c:pt>
                <c:pt idx="59">
                  <c:v>7.929302832244009E-3</c:v>
                </c:pt>
                <c:pt idx="60">
                  <c:v>7.929302832244009E-3</c:v>
                </c:pt>
                <c:pt idx="61">
                  <c:v>7.929302832244009E-3</c:v>
                </c:pt>
                <c:pt idx="62">
                  <c:v>7.929302832244009E-3</c:v>
                </c:pt>
                <c:pt idx="63">
                  <c:v>7.929302832244009E-3</c:v>
                </c:pt>
                <c:pt idx="64">
                  <c:v>7.929302832244009E-3</c:v>
                </c:pt>
                <c:pt idx="65">
                  <c:v>7.929302832244009E-3</c:v>
                </c:pt>
                <c:pt idx="66">
                  <c:v>7.929302832244009E-3</c:v>
                </c:pt>
                <c:pt idx="67">
                  <c:v>7.929302832244009E-3</c:v>
                </c:pt>
                <c:pt idx="68">
                  <c:v>7.929302832244009E-3</c:v>
                </c:pt>
                <c:pt idx="69">
                  <c:v>7.929302832244009E-3</c:v>
                </c:pt>
                <c:pt idx="70">
                  <c:v>7.929302832244009E-3</c:v>
                </c:pt>
                <c:pt idx="71">
                  <c:v>7.929302832244009E-3</c:v>
                </c:pt>
                <c:pt idx="72">
                  <c:v>7.929302832244009E-3</c:v>
                </c:pt>
                <c:pt idx="73">
                  <c:v>7.929302832244009E-3</c:v>
                </c:pt>
                <c:pt idx="74">
                  <c:v>7.929302832244009E-3</c:v>
                </c:pt>
                <c:pt idx="75">
                  <c:v>7.929302832244009E-3</c:v>
                </c:pt>
                <c:pt idx="76">
                  <c:v>7.929302832244009E-3</c:v>
                </c:pt>
                <c:pt idx="77">
                  <c:v>7.929302832244009E-3</c:v>
                </c:pt>
                <c:pt idx="78">
                  <c:v>7.929302832244009E-3</c:v>
                </c:pt>
                <c:pt idx="79">
                  <c:v>7.929302832244009E-3</c:v>
                </c:pt>
                <c:pt idx="80">
                  <c:v>7.929302832244009E-3</c:v>
                </c:pt>
                <c:pt idx="81">
                  <c:v>7.929302832244009E-3</c:v>
                </c:pt>
                <c:pt idx="82">
                  <c:v>7.929302832244009E-3</c:v>
                </c:pt>
                <c:pt idx="83">
                  <c:v>7.929302832244009E-3</c:v>
                </c:pt>
                <c:pt idx="84">
                  <c:v>7.929302832244009E-3</c:v>
                </c:pt>
                <c:pt idx="85">
                  <c:v>7.929302832244009E-3</c:v>
                </c:pt>
                <c:pt idx="86">
                  <c:v>7.929302832244009E-3</c:v>
                </c:pt>
                <c:pt idx="87">
                  <c:v>7.929302832244009E-3</c:v>
                </c:pt>
                <c:pt idx="88">
                  <c:v>7.929302832244009E-3</c:v>
                </c:pt>
                <c:pt idx="89">
                  <c:v>7.929302832244009E-3</c:v>
                </c:pt>
                <c:pt idx="90">
                  <c:v>7.929302832244009E-3</c:v>
                </c:pt>
                <c:pt idx="91">
                  <c:v>7.929302832244009E-3</c:v>
                </c:pt>
                <c:pt idx="92">
                  <c:v>7.929302832244009E-3</c:v>
                </c:pt>
                <c:pt idx="93">
                  <c:v>7.929302832244009E-3</c:v>
                </c:pt>
                <c:pt idx="94">
                  <c:v>7.929302832244009E-3</c:v>
                </c:pt>
                <c:pt idx="95">
                  <c:v>7.929302832244009E-3</c:v>
                </c:pt>
                <c:pt idx="96">
                  <c:v>7.929302832244009E-3</c:v>
                </c:pt>
                <c:pt idx="97">
                  <c:v>7.929302832244009E-3</c:v>
                </c:pt>
                <c:pt idx="98">
                  <c:v>7.929302832244009E-3</c:v>
                </c:pt>
                <c:pt idx="99">
                  <c:v>7.929302832244009E-3</c:v>
                </c:pt>
              </c:numCache>
            </c:numRef>
          </c:val>
          <c:smooth val="0"/>
          <c:extLst xmlns:c16r2="http://schemas.microsoft.com/office/drawing/2015/06/chart">
            <c:ext xmlns:c16="http://schemas.microsoft.com/office/drawing/2014/chart" uri="{C3380CC4-5D6E-409C-BE32-E72D297353CC}">
              <c16:uniqueId val="{00000003-5F42-4E97-9514-DB14CDF7EBE8}"/>
            </c:ext>
          </c:extLst>
        </c:ser>
        <c:dLbls>
          <c:showLegendKey val="0"/>
          <c:showVal val="0"/>
          <c:showCatName val="0"/>
          <c:showSerName val="0"/>
          <c:showPercent val="0"/>
          <c:showBubbleSize val="0"/>
        </c:dLbls>
        <c:marker val="1"/>
        <c:smooth val="0"/>
        <c:axId val="195389552"/>
        <c:axId val="195390112"/>
      </c:lineChart>
      <c:catAx>
        <c:axId val="195389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5390112"/>
        <c:crosses val="autoZero"/>
        <c:auto val="1"/>
        <c:lblAlgn val="ctr"/>
        <c:lblOffset val="500"/>
        <c:tickLblSkip val="5"/>
        <c:noMultiLvlLbl val="0"/>
      </c:catAx>
      <c:valAx>
        <c:axId val="1953901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5389552"/>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81EC-4A52-9275-148EAF02EA02}"/>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3.4169742898780886E-2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81EC-4A52-9275-148EAF02EA02}"/>
            </c:ext>
          </c:extLst>
        </c:ser>
        <c:dLbls>
          <c:showLegendKey val="0"/>
          <c:showVal val="0"/>
          <c:showCatName val="0"/>
          <c:showSerName val="0"/>
          <c:showPercent val="0"/>
          <c:showBubbleSize val="0"/>
        </c:dLbls>
        <c:gapWidth val="0"/>
        <c:overlap val="100"/>
        <c:axId val="197255360"/>
        <c:axId val="1972559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1.9823257080610023E-2</c:v>
                </c:pt>
                <c:pt idx="1">
                  <c:v>1.9823257080610023E-2</c:v>
                </c:pt>
                <c:pt idx="2">
                  <c:v>1.9823257080610023E-2</c:v>
                </c:pt>
                <c:pt idx="3">
                  <c:v>1.9823257080610023E-2</c:v>
                </c:pt>
                <c:pt idx="4">
                  <c:v>1.9823257080610023E-2</c:v>
                </c:pt>
                <c:pt idx="5">
                  <c:v>1.9823257080610023E-2</c:v>
                </c:pt>
                <c:pt idx="6">
                  <c:v>1.9823257080610023E-2</c:v>
                </c:pt>
                <c:pt idx="7">
                  <c:v>1.9823257080610023E-2</c:v>
                </c:pt>
                <c:pt idx="8">
                  <c:v>1.9823257080610023E-2</c:v>
                </c:pt>
                <c:pt idx="9">
                  <c:v>1.9823257080610023E-2</c:v>
                </c:pt>
                <c:pt idx="10">
                  <c:v>1.9823257080610023E-2</c:v>
                </c:pt>
                <c:pt idx="11">
                  <c:v>1.9823257080610023E-2</c:v>
                </c:pt>
                <c:pt idx="12">
                  <c:v>1.9823257080610023E-2</c:v>
                </c:pt>
                <c:pt idx="13">
                  <c:v>1.9823257080610023E-2</c:v>
                </c:pt>
                <c:pt idx="14">
                  <c:v>1.9823257080610023E-2</c:v>
                </c:pt>
                <c:pt idx="15">
                  <c:v>1.9823257080610023E-2</c:v>
                </c:pt>
                <c:pt idx="16">
                  <c:v>1.9823257080610023E-2</c:v>
                </c:pt>
                <c:pt idx="17">
                  <c:v>1.9823257080610023E-2</c:v>
                </c:pt>
                <c:pt idx="18">
                  <c:v>1.9823257080610023E-2</c:v>
                </c:pt>
                <c:pt idx="19">
                  <c:v>1.9823257080610023E-2</c:v>
                </c:pt>
                <c:pt idx="20">
                  <c:v>1.9823257080610023E-2</c:v>
                </c:pt>
                <c:pt idx="21">
                  <c:v>1.9823257080610023E-2</c:v>
                </c:pt>
                <c:pt idx="22">
                  <c:v>1.9823257080610023E-2</c:v>
                </c:pt>
                <c:pt idx="23">
                  <c:v>1.9823257080610023E-2</c:v>
                </c:pt>
                <c:pt idx="24">
                  <c:v>1.9823257080610023E-2</c:v>
                </c:pt>
                <c:pt idx="25">
                  <c:v>1.9823257080610023E-2</c:v>
                </c:pt>
                <c:pt idx="26">
                  <c:v>1.9823257080610023E-2</c:v>
                </c:pt>
                <c:pt idx="27">
                  <c:v>1.9823257080610023E-2</c:v>
                </c:pt>
                <c:pt idx="28">
                  <c:v>1.9823257080610023E-2</c:v>
                </c:pt>
                <c:pt idx="29">
                  <c:v>1.9823257080610023E-2</c:v>
                </c:pt>
                <c:pt idx="30">
                  <c:v>1.9823257080610023E-2</c:v>
                </c:pt>
                <c:pt idx="31">
                  <c:v>1.9823257080610023E-2</c:v>
                </c:pt>
                <c:pt idx="32">
                  <c:v>1.9823257080610023E-2</c:v>
                </c:pt>
                <c:pt idx="33">
                  <c:v>1.9823257080610023E-2</c:v>
                </c:pt>
                <c:pt idx="34">
                  <c:v>1.9823257080610023E-2</c:v>
                </c:pt>
                <c:pt idx="35">
                  <c:v>1.9823257080610023E-2</c:v>
                </c:pt>
                <c:pt idx="36">
                  <c:v>1.9823257080610023E-2</c:v>
                </c:pt>
                <c:pt idx="37">
                  <c:v>1.9823257080610023E-2</c:v>
                </c:pt>
                <c:pt idx="38">
                  <c:v>1.9823257080610023E-2</c:v>
                </c:pt>
                <c:pt idx="39">
                  <c:v>1.9823257080610023E-2</c:v>
                </c:pt>
                <c:pt idx="40">
                  <c:v>1.9823257080610023E-2</c:v>
                </c:pt>
                <c:pt idx="41">
                  <c:v>1.9823257080610023E-2</c:v>
                </c:pt>
                <c:pt idx="42">
                  <c:v>1.9823257080610023E-2</c:v>
                </c:pt>
                <c:pt idx="43">
                  <c:v>1.9823257080610023E-2</c:v>
                </c:pt>
                <c:pt idx="44">
                  <c:v>1.9823257080610023E-2</c:v>
                </c:pt>
                <c:pt idx="45">
                  <c:v>1.9823257080610023E-2</c:v>
                </c:pt>
                <c:pt idx="46">
                  <c:v>1.9823257080610023E-2</c:v>
                </c:pt>
                <c:pt idx="47">
                  <c:v>1.9823257080610023E-2</c:v>
                </c:pt>
                <c:pt idx="48">
                  <c:v>1.9823257080610023E-2</c:v>
                </c:pt>
                <c:pt idx="49">
                  <c:v>1.9823257080610023E-2</c:v>
                </c:pt>
                <c:pt idx="50">
                  <c:v>1.9823257080610023E-2</c:v>
                </c:pt>
                <c:pt idx="51">
                  <c:v>1.9823257080610023E-2</c:v>
                </c:pt>
                <c:pt idx="52">
                  <c:v>1.9823257080610023E-2</c:v>
                </c:pt>
                <c:pt idx="53">
                  <c:v>1.9823257080610023E-2</c:v>
                </c:pt>
                <c:pt idx="54">
                  <c:v>1.9823257080610023E-2</c:v>
                </c:pt>
                <c:pt idx="55">
                  <c:v>1.9823257080610023E-2</c:v>
                </c:pt>
                <c:pt idx="56">
                  <c:v>1.9823257080610023E-2</c:v>
                </c:pt>
                <c:pt idx="57">
                  <c:v>1.9823257080610023E-2</c:v>
                </c:pt>
                <c:pt idx="58">
                  <c:v>1.9823257080610023E-2</c:v>
                </c:pt>
                <c:pt idx="59">
                  <c:v>1.9823257080610023E-2</c:v>
                </c:pt>
                <c:pt idx="60">
                  <c:v>1.9823257080610023E-2</c:v>
                </c:pt>
                <c:pt idx="61">
                  <c:v>1.9823257080610023E-2</c:v>
                </c:pt>
                <c:pt idx="62">
                  <c:v>1.9823257080610023E-2</c:v>
                </c:pt>
                <c:pt idx="63">
                  <c:v>1.9823257080610023E-2</c:v>
                </c:pt>
                <c:pt idx="64">
                  <c:v>1.9823257080610023E-2</c:v>
                </c:pt>
                <c:pt idx="65">
                  <c:v>1.9823257080610023E-2</c:v>
                </c:pt>
                <c:pt idx="66">
                  <c:v>1.9823257080610023E-2</c:v>
                </c:pt>
                <c:pt idx="67">
                  <c:v>1.9823257080610023E-2</c:v>
                </c:pt>
                <c:pt idx="68">
                  <c:v>1.9823257080610023E-2</c:v>
                </c:pt>
                <c:pt idx="69">
                  <c:v>1.9823257080610023E-2</c:v>
                </c:pt>
                <c:pt idx="70">
                  <c:v>1.9823257080610023E-2</c:v>
                </c:pt>
                <c:pt idx="71">
                  <c:v>1.9823257080610023E-2</c:v>
                </c:pt>
                <c:pt idx="72">
                  <c:v>1.9823257080610023E-2</c:v>
                </c:pt>
                <c:pt idx="73">
                  <c:v>1.9823257080610023E-2</c:v>
                </c:pt>
                <c:pt idx="74">
                  <c:v>1.9823257080610023E-2</c:v>
                </c:pt>
                <c:pt idx="75">
                  <c:v>1.9823257080610023E-2</c:v>
                </c:pt>
                <c:pt idx="76">
                  <c:v>1.9823257080610023E-2</c:v>
                </c:pt>
                <c:pt idx="77">
                  <c:v>1.9823257080610023E-2</c:v>
                </c:pt>
                <c:pt idx="78">
                  <c:v>1.9823257080610023E-2</c:v>
                </c:pt>
                <c:pt idx="79">
                  <c:v>1.9823257080610023E-2</c:v>
                </c:pt>
                <c:pt idx="80">
                  <c:v>1.9823257080610023E-2</c:v>
                </c:pt>
                <c:pt idx="81">
                  <c:v>1.9823257080610023E-2</c:v>
                </c:pt>
                <c:pt idx="82">
                  <c:v>1.9823257080610023E-2</c:v>
                </c:pt>
                <c:pt idx="83">
                  <c:v>1.9823257080610023E-2</c:v>
                </c:pt>
                <c:pt idx="84">
                  <c:v>1.9823257080610023E-2</c:v>
                </c:pt>
                <c:pt idx="85">
                  <c:v>1.9823257080610023E-2</c:v>
                </c:pt>
                <c:pt idx="86">
                  <c:v>1.9823257080610023E-2</c:v>
                </c:pt>
                <c:pt idx="87">
                  <c:v>1.9823257080610023E-2</c:v>
                </c:pt>
                <c:pt idx="88">
                  <c:v>1.9823257080610023E-2</c:v>
                </c:pt>
                <c:pt idx="89">
                  <c:v>1.9823257080610023E-2</c:v>
                </c:pt>
                <c:pt idx="90">
                  <c:v>1.9823257080610023E-2</c:v>
                </c:pt>
                <c:pt idx="91">
                  <c:v>1.9823257080610023E-2</c:v>
                </c:pt>
                <c:pt idx="92">
                  <c:v>1.9823257080610023E-2</c:v>
                </c:pt>
                <c:pt idx="93">
                  <c:v>1.9823257080610023E-2</c:v>
                </c:pt>
                <c:pt idx="94">
                  <c:v>1.9823257080610023E-2</c:v>
                </c:pt>
                <c:pt idx="95">
                  <c:v>1.9823257080610023E-2</c:v>
                </c:pt>
                <c:pt idx="96">
                  <c:v>1.9823257080610023E-2</c:v>
                </c:pt>
                <c:pt idx="97">
                  <c:v>1.9823257080610023E-2</c:v>
                </c:pt>
                <c:pt idx="98">
                  <c:v>1.9823257080610023E-2</c:v>
                </c:pt>
                <c:pt idx="99">
                  <c:v>1.9823257080610023E-2</c:v>
                </c:pt>
              </c:numCache>
            </c:numRef>
          </c:val>
          <c:smooth val="0"/>
          <c:extLst xmlns:c16r2="http://schemas.microsoft.com/office/drawing/2015/06/chart">
            <c:ext xmlns:c16="http://schemas.microsoft.com/office/drawing/2014/chart" uri="{C3380CC4-5D6E-409C-BE32-E72D297353CC}">
              <c16:uniqueId val="{00000002-81EC-4A52-9275-148EAF02EA02}"/>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7.929302832244009E-3</c:v>
                </c:pt>
                <c:pt idx="1">
                  <c:v>7.929302832244009E-3</c:v>
                </c:pt>
                <c:pt idx="2">
                  <c:v>7.929302832244009E-3</c:v>
                </c:pt>
                <c:pt idx="3">
                  <c:v>7.929302832244009E-3</c:v>
                </c:pt>
                <c:pt idx="4">
                  <c:v>7.929302832244009E-3</c:v>
                </c:pt>
                <c:pt idx="5">
                  <c:v>7.929302832244009E-3</c:v>
                </c:pt>
                <c:pt idx="6">
                  <c:v>7.929302832244009E-3</c:v>
                </c:pt>
                <c:pt idx="7">
                  <c:v>7.929302832244009E-3</c:v>
                </c:pt>
                <c:pt idx="8">
                  <c:v>7.929302832244009E-3</c:v>
                </c:pt>
                <c:pt idx="9">
                  <c:v>7.929302832244009E-3</c:v>
                </c:pt>
                <c:pt idx="10">
                  <c:v>7.929302832244009E-3</c:v>
                </c:pt>
                <c:pt idx="11">
                  <c:v>7.929302832244009E-3</c:v>
                </c:pt>
                <c:pt idx="12">
                  <c:v>7.929302832244009E-3</c:v>
                </c:pt>
                <c:pt idx="13">
                  <c:v>7.929302832244009E-3</c:v>
                </c:pt>
                <c:pt idx="14">
                  <c:v>7.929302832244009E-3</c:v>
                </c:pt>
                <c:pt idx="15">
                  <c:v>7.929302832244009E-3</c:v>
                </c:pt>
                <c:pt idx="16">
                  <c:v>7.929302832244009E-3</c:v>
                </c:pt>
                <c:pt idx="17">
                  <c:v>7.929302832244009E-3</c:v>
                </c:pt>
                <c:pt idx="18">
                  <c:v>7.929302832244009E-3</c:v>
                </c:pt>
                <c:pt idx="19">
                  <c:v>7.929302832244009E-3</c:v>
                </c:pt>
                <c:pt idx="20">
                  <c:v>7.929302832244009E-3</c:v>
                </c:pt>
                <c:pt idx="21">
                  <c:v>7.929302832244009E-3</c:v>
                </c:pt>
                <c:pt idx="22">
                  <c:v>7.929302832244009E-3</c:v>
                </c:pt>
                <c:pt idx="23">
                  <c:v>7.929302832244009E-3</c:v>
                </c:pt>
                <c:pt idx="24">
                  <c:v>7.929302832244009E-3</c:v>
                </c:pt>
                <c:pt idx="25">
                  <c:v>7.929302832244009E-3</c:v>
                </c:pt>
                <c:pt idx="26">
                  <c:v>7.929302832244009E-3</c:v>
                </c:pt>
                <c:pt idx="27">
                  <c:v>7.929302832244009E-3</c:v>
                </c:pt>
                <c:pt idx="28">
                  <c:v>7.929302832244009E-3</c:v>
                </c:pt>
                <c:pt idx="29">
                  <c:v>7.929302832244009E-3</c:v>
                </c:pt>
                <c:pt idx="30">
                  <c:v>7.929302832244009E-3</c:v>
                </c:pt>
                <c:pt idx="31">
                  <c:v>7.929302832244009E-3</c:v>
                </c:pt>
                <c:pt idx="32">
                  <c:v>7.929302832244009E-3</c:v>
                </c:pt>
                <c:pt idx="33">
                  <c:v>7.929302832244009E-3</c:v>
                </c:pt>
                <c:pt idx="34">
                  <c:v>7.929302832244009E-3</c:v>
                </c:pt>
                <c:pt idx="35">
                  <c:v>7.929302832244009E-3</c:v>
                </c:pt>
                <c:pt idx="36">
                  <c:v>7.929302832244009E-3</c:v>
                </c:pt>
                <c:pt idx="37">
                  <c:v>7.929302832244009E-3</c:v>
                </c:pt>
                <c:pt idx="38">
                  <c:v>7.929302832244009E-3</c:v>
                </c:pt>
                <c:pt idx="39">
                  <c:v>7.929302832244009E-3</c:v>
                </c:pt>
                <c:pt idx="40">
                  <c:v>7.929302832244009E-3</c:v>
                </c:pt>
                <c:pt idx="41">
                  <c:v>7.929302832244009E-3</c:v>
                </c:pt>
                <c:pt idx="42">
                  <c:v>7.929302832244009E-3</c:v>
                </c:pt>
                <c:pt idx="43">
                  <c:v>7.929302832244009E-3</c:v>
                </c:pt>
                <c:pt idx="44">
                  <c:v>7.929302832244009E-3</c:v>
                </c:pt>
                <c:pt idx="45">
                  <c:v>7.929302832244009E-3</c:v>
                </c:pt>
                <c:pt idx="46">
                  <c:v>7.929302832244009E-3</c:v>
                </c:pt>
                <c:pt idx="47">
                  <c:v>7.929302832244009E-3</c:v>
                </c:pt>
                <c:pt idx="48">
                  <c:v>7.929302832244009E-3</c:v>
                </c:pt>
                <c:pt idx="49">
                  <c:v>7.929302832244009E-3</c:v>
                </c:pt>
                <c:pt idx="50">
                  <c:v>7.929302832244009E-3</c:v>
                </c:pt>
                <c:pt idx="51">
                  <c:v>7.929302832244009E-3</c:v>
                </c:pt>
                <c:pt idx="52">
                  <c:v>7.929302832244009E-3</c:v>
                </c:pt>
                <c:pt idx="53">
                  <c:v>7.929302832244009E-3</c:v>
                </c:pt>
                <c:pt idx="54">
                  <c:v>7.929302832244009E-3</c:v>
                </c:pt>
                <c:pt idx="55">
                  <c:v>7.929302832244009E-3</c:v>
                </c:pt>
                <c:pt idx="56">
                  <c:v>7.929302832244009E-3</c:v>
                </c:pt>
                <c:pt idx="57">
                  <c:v>7.929302832244009E-3</c:v>
                </c:pt>
                <c:pt idx="58">
                  <c:v>7.929302832244009E-3</c:v>
                </c:pt>
                <c:pt idx="59">
                  <c:v>7.929302832244009E-3</c:v>
                </c:pt>
                <c:pt idx="60">
                  <c:v>7.929302832244009E-3</c:v>
                </c:pt>
                <c:pt idx="61">
                  <c:v>7.929302832244009E-3</c:v>
                </c:pt>
                <c:pt idx="62">
                  <c:v>7.929302832244009E-3</c:v>
                </c:pt>
                <c:pt idx="63">
                  <c:v>7.929302832244009E-3</c:v>
                </c:pt>
                <c:pt idx="64">
                  <c:v>7.929302832244009E-3</c:v>
                </c:pt>
                <c:pt idx="65">
                  <c:v>7.929302832244009E-3</c:v>
                </c:pt>
                <c:pt idx="66">
                  <c:v>7.929302832244009E-3</c:v>
                </c:pt>
                <c:pt idx="67">
                  <c:v>7.929302832244009E-3</c:v>
                </c:pt>
                <c:pt idx="68">
                  <c:v>7.929302832244009E-3</c:v>
                </c:pt>
                <c:pt idx="69">
                  <c:v>7.929302832244009E-3</c:v>
                </c:pt>
                <c:pt idx="70">
                  <c:v>7.929302832244009E-3</c:v>
                </c:pt>
                <c:pt idx="71">
                  <c:v>7.929302832244009E-3</c:v>
                </c:pt>
                <c:pt idx="72">
                  <c:v>7.929302832244009E-3</c:v>
                </c:pt>
                <c:pt idx="73">
                  <c:v>7.929302832244009E-3</c:v>
                </c:pt>
                <c:pt idx="74">
                  <c:v>7.929302832244009E-3</c:v>
                </c:pt>
                <c:pt idx="75">
                  <c:v>7.929302832244009E-3</c:v>
                </c:pt>
                <c:pt idx="76">
                  <c:v>7.929302832244009E-3</c:v>
                </c:pt>
                <c:pt idx="77">
                  <c:v>7.929302832244009E-3</c:v>
                </c:pt>
                <c:pt idx="78">
                  <c:v>7.929302832244009E-3</c:v>
                </c:pt>
                <c:pt idx="79">
                  <c:v>7.929302832244009E-3</c:v>
                </c:pt>
                <c:pt idx="80">
                  <c:v>7.929302832244009E-3</c:v>
                </c:pt>
                <c:pt idx="81">
                  <c:v>7.929302832244009E-3</c:v>
                </c:pt>
                <c:pt idx="82">
                  <c:v>7.929302832244009E-3</c:v>
                </c:pt>
                <c:pt idx="83">
                  <c:v>7.929302832244009E-3</c:v>
                </c:pt>
                <c:pt idx="84">
                  <c:v>7.929302832244009E-3</c:v>
                </c:pt>
                <c:pt idx="85">
                  <c:v>7.929302832244009E-3</c:v>
                </c:pt>
                <c:pt idx="86">
                  <c:v>7.929302832244009E-3</c:v>
                </c:pt>
                <c:pt idx="87">
                  <c:v>7.929302832244009E-3</c:v>
                </c:pt>
                <c:pt idx="88">
                  <c:v>7.929302832244009E-3</c:v>
                </c:pt>
                <c:pt idx="89">
                  <c:v>7.929302832244009E-3</c:v>
                </c:pt>
                <c:pt idx="90">
                  <c:v>7.929302832244009E-3</c:v>
                </c:pt>
                <c:pt idx="91">
                  <c:v>7.929302832244009E-3</c:v>
                </c:pt>
                <c:pt idx="92">
                  <c:v>7.929302832244009E-3</c:v>
                </c:pt>
                <c:pt idx="93">
                  <c:v>7.929302832244009E-3</c:v>
                </c:pt>
                <c:pt idx="94">
                  <c:v>7.929302832244009E-3</c:v>
                </c:pt>
                <c:pt idx="95">
                  <c:v>7.929302832244009E-3</c:v>
                </c:pt>
                <c:pt idx="96">
                  <c:v>7.929302832244009E-3</c:v>
                </c:pt>
                <c:pt idx="97">
                  <c:v>7.929302832244009E-3</c:v>
                </c:pt>
                <c:pt idx="98">
                  <c:v>7.929302832244009E-3</c:v>
                </c:pt>
                <c:pt idx="99">
                  <c:v>7.929302832244009E-3</c:v>
                </c:pt>
              </c:numCache>
            </c:numRef>
          </c:val>
          <c:smooth val="0"/>
          <c:extLst xmlns:c16r2="http://schemas.microsoft.com/office/drawing/2015/06/chart">
            <c:ext xmlns:c16="http://schemas.microsoft.com/office/drawing/2014/chart" uri="{C3380CC4-5D6E-409C-BE32-E72D297353CC}">
              <c16:uniqueId val="{00000003-81EC-4A52-9275-148EAF02EA02}"/>
            </c:ext>
          </c:extLst>
        </c:ser>
        <c:dLbls>
          <c:showLegendKey val="0"/>
          <c:showVal val="0"/>
          <c:showCatName val="0"/>
          <c:showSerName val="0"/>
          <c:showPercent val="0"/>
          <c:showBubbleSize val="0"/>
        </c:dLbls>
        <c:marker val="1"/>
        <c:smooth val="0"/>
        <c:axId val="197255360"/>
        <c:axId val="197255920"/>
      </c:lineChart>
      <c:catAx>
        <c:axId val="197255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7255920"/>
        <c:crosses val="autoZero"/>
        <c:auto val="1"/>
        <c:lblAlgn val="ctr"/>
        <c:lblOffset val="500"/>
        <c:tickLblSkip val="5"/>
        <c:noMultiLvlLbl val="0"/>
      </c:catAx>
      <c:valAx>
        <c:axId val="1972559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7255360"/>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703B-48A2-B9BB-2C8A40322E69}"/>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99.057208361777725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703B-48A2-B9BB-2C8A40322E69}"/>
            </c:ext>
          </c:extLst>
        </c:ser>
        <c:dLbls>
          <c:showLegendKey val="0"/>
          <c:showVal val="0"/>
          <c:showCatName val="0"/>
          <c:showSerName val="0"/>
          <c:showPercent val="0"/>
          <c:showBubbleSize val="0"/>
        </c:dLbls>
        <c:gapWidth val="0"/>
        <c:overlap val="100"/>
        <c:axId val="197260400"/>
        <c:axId val="1973380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138.46648284313724</c:v>
                </c:pt>
                <c:pt idx="1">
                  <c:v>138.46648284313724</c:v>
                </c:pt>
                <c:pt idx="2">
                  <c:v>138.46648284313724</c:v>
                </c:pt>
                <c:pt idx="3">
                  <c:v>138.46648284313724</c:v>
                </c:pt>
                <c:pt idx="4">
                  <c:v>138.46648284313724</c:v>
                </c:pt>
                <c:pt idx="5">
                  <c:v>138.46648284313724</c:v>
                </c:pt>
                <c:pt idx="6">
                  <c:v>138.46648284313724</c:v>
                </c:pt>
                <c:pt idx="7">
                  <c:v>138.46648284313724</c:v>
                </c:pt>
                <c:pt idx="8">
                  <c:v>138.46648284313724</c:v>
                </c:pt>
                <c:pt idx="9">
                  <c:v>138.46648284313724</c:v>
                </c:pt>
                <c:pt idx="10">
                  <c:v>138.46648284313724</c:v>
                </c:pt>
                <c:pt idx="11">
                  <c:v>138.46648284313724</c:v>
                </c:pt>
                <c:pt idx="12">
                  <c:v>138.46648284313724</c:v>
                </c:pt>
                <c:pt idx="13">
                  <c:v>138.46648284313724</c:v>
                </c:pt>
                <c:pt idx="14">
                  <c:v>138.46648284313724</c:v>
                </c:pt>
                <c:pt idx="15">
                  <c:v>138.46648284313724</c:v>
                </c:pt>
                <c:pt idx="16">
                  <c:v>138.46648284313724</c:v>
                </c:pt>
                <c:pt idx="17">
                  <c:v>138.46648284313724</c:v>
                </c:pt>
                <c:pt idx="18">
                  <c:v>138.46648284313724</c:v>
                </c:pt>
                <c:pt idx="19">
                  <c:v>138.46648284313724</c:v>
                </c:pt>
                <c:pt idx="20">
                  <c:v>138.46648284313724</c:v>
                </c:pt>
                <c:pt idx="21">
                  <c:v>138.46648284313724</c:v>
                </c:pt>
                <c:pt idx="22">
                  <c:v>138.46648284313724</c:v>
                </c:pt>
                <c:pt idx="23">
                  <c:v>138.46648284313724</c:v>
                </c:pt>
                <c:pt idx="24">
                  <c:v>138.46648284313724</c:v>
                </c:pt>
                <c:pt idx="25">
                  <c:v>138.46648284313724</c:v>
                </c:pt>
                <c:pt idx="26">
                  <c:v>138.46648284313724</c:v>
                </c:pt>
                <c:pt idx="27">
                  <c:v>138.46648284313724</c:v>
                </c:pt>
                <c:pt idx="28">
                  <c:v>138.46648284313724</c:v>
                </c:pt>
                <c:pt idx="29">
                  <c:v>138.46648284313724</c:v>
                </c:pt>
                <c:pt idx="30">
                  <c:v>138.46648284313724</c:v>
                </c:pt>
                <c:pt idx="31">
                  <c:v>138.46648284313724</c:v>
                </c:pt>
                <c:pt idx="32">
                  <c:v>138.46648284313724</c:v>
                </c:pt>
                <c:pt idx="33">
                  <c:v>138.46648284313724</c:v>
                </c:pt>
                <c:pt idx="34">
                  <c:v>138.46648284313724</c:v>
                </c:pt>
                <c:pt idx="35">
                  <c:v>138.46648284313724</c:v>
                </c:pt>
                <c:pt idx="36">
                  <c:v>138.46648284313724</c:v>
                </c:pt>
                <c:pt idx="37">
                  <c:v>138.46648284313724</c:v>
                </c:pt>
                <c:pt idx="38">
                  <c:v>138.46648284313724</c:v>
                </c:pt>
                <c:pt idx="39">
                  <c:v>138.46648284313724</c:v>
                </c:pt>
                <c:pt idx="40">
                  <c:v>138.46648284313724</c:v>
                </c:pt>
                <c:pt idx="41">
                  <c:v>138.46648284313724</c:v>
                </c:pt>
                <c:pt idx="42">
                  <c:v>138.46648284313724</c:v>
                </c:pt>
                <c:pt idx="43">
                  <c:v>138.46648284313724</c:v>
                </c:pt>
                <c:pt idx="44">
                  <c:v>138.46648284313724</c:v>
                </c:pt>
                <c:pt idx="45">
                  <c:v>138.46648284313724</c:v>
                </c:pt>
                <c:pt idx="46">
                  <c:v>138.46648284313724</c:v>
                </c:pt>
                <c:pt idx="47">
                  <c:v>138.46648284313724</c:v>
                </c:pt>
                <c:pt idx="48">
                  <c:v>138.46648284313724</c:v>
                </c:pt>
                <c:pt idx="49">
                  <c:v>138.46648284313724</c:v>
                </c:pt>
                <c:pt idx="50">
                  <c:v>138.46648284313724</c:v>
                </c:pt>
                <c:pt idx="51">
                  <c:v>138.46648284313724</c:v>
                </c:pt>
                <c:pt idx="52">
                  <c:v>138.46648284313724</c:v>
                </c:pt>
                <c:pt idx="53">
                  <c:v>138.46648284313724</c:v>
                </c:pt>
                <c:pt idx="54">
                  <c:v>138.46648284313724</c:v>
                </c:pt>
                <c:pt idx="55">
                  <c:v>138.46648284313724</c:v>
                </c:pt>
                <c:pt idx="56">
                  <c:v>138.46648284313724</c:v>
                </c:pt>
                <c:pt idx="57">
                  <c:v>138.46648284313724</c:v>
                </c:pt>
                <c:pt idx="58">
                  <c:v>138.46648284313724</c:v>
                </c:pt>
                <c:pt idx="59">
                  <c:v>138.46648284313724</c:v>
                </c:pt>
                <c:pt idx="60">
                  <c:v>138.46648284313724</c:v>
                </c:pt>
                <c:pt idx="61">
                  <c:v>138.46648284313724</c:v>
                </c:pt>
                <c:pt idx="62">
                  <c:v>138.46648284313724</c:v>
                </c:pt>
                <c:pt idx="63">
                  <c:v>138.46648284313724</c:v>
                </c:pt>
                <c:pt idx="64">
                  <c:v>138.46648284313724</c:v>
                </c:pt>
                <c:pt idx="65">
                  <c:v>138.46648284313724</c:v>
                </c:pt>
                <c:pt idx="66">
                  <c:v>138.46648284313724</c:v>
                </c:pt>
                <c:pt idx="67">
                  <c:v>138.46648284313724</c:v>
                </c:pt>
                <c:pt idx="68">
                  <c:v>138.46648284313724</c:v>
                </c:pt>
                <c:pt idx="69">
                  <c:v>138.46648284313724</c:v>
                </c:pt>
                <c:pt idx="70">
                  <c:v>138.46648284313724</c:v>
                </c:pt>
                <c:pt idx="71">
                  <c:v>138.46648284313724</c:v>
                </c:pt>
                <c:pt idx="72">
                  <c:v>138.46648284313724</c:v>
                </c:pt>
                <c:pt idx="73">
                  <c:v>138.46648284313724</c:v>
                </c:pt>
                <c:pt idx="74">
                  <c:v>138.46648284313724</c:v>
                </c:pt>
                <c:pt idx="75">
                  <c:v>138.46648284313724</c:v>
                </c:pt>
                <c:pt idx="76">
                  <c:v>138.46648284313724</c:v>
                </c:pt>
                <c:pt idx="77">
                  <c:v>138.46648284313724</c:v>
                </c:pt>
                <c:pt idx="78">
                  <c:v>138.46648284313724</c:v>
                </c:pt>
                <c:pt idx="79">
                  <c:v>138.46648284313724</c:v>
                </c:pt>
                <c:pt idx="80">
                  <c:v>138.46648284313724</c:v>
                </c:pt>
                <c:pt idx="81">
                  <c:v>138.46648284313724</c:v>
                </c:pt>
                <c:pt idx="82">
                  <c:v>138.46648284313724</c:v>
                </c:pt>
                <c:pt idx="83">
                  <c:v>138.46648284313724</c:v>
                </c:pt>
                <c:pt idx="84">
                  <c:v>138.46648284313724</c:v>
                </c:pt>
                <c:pt idx="85">
                  <c:v>138.46648284313724</c:v>
                </c:pt>
                <c:pt idx="86">
                  <c:v>138.46648284313724</c:v>
                </c:pt>
                <c:pt idx="87">
                  <c:v>138.46648284313724</c:v>
                </c:pt>
                <c:pt idx="88">
                  <c:v>138.46648284313724</c:v>
                </c:pt>
                <c:pt idx="89">
                  <c:v>138.46648284313724</c:v>
                </c:pt>
                <c:pt idx="90">
                  <c:v>138.46648284313724</c:v>
                </c:pt>
                <c:pt idx="91">
                  <c:v>138.46648284313724</c:v>
                </c:pt>
                <c:pt idx="92">
                  <c:v>138.46648284313724</c:v>
                </c:pt>
                <c:pt idx="93">
                  <c:v>138.46648284313724</c:v>
                </c:pt>
                <c:pt idx="94">
                  <c:v>138.46648284313724</c:v>
                </c:pt>
                <c:pt idx="95">
                  <c:v>138.46648284313724</c:v>
                </c:pt>
                <c:pt idx="96">
                  <c:v>138.46648284313724</c:v>
                </c:pt>
                <c:pt idx="97">
                  <c:v>138.46648284313724</c:v>
                </c:pt>
                <c:pt idx="98">
                  <c:v>138.46648284313724</c:v>
                </c:pt>
                <c:pt idx="99">
                  <c:v>138.46648284313724</c:v>
                </c:pt>
              </c:numCache>
            </c:numRef>
          </c:val>
          <c:smooth val="0"/>
          <c:extLst xmlns:c16r2="http://schemas.microsoft.com/office/drawing/2015/06/chart">
            <c:ext xmlns:c16="http://schemas.microsoft.com/office/drawing/2014/chart" uri="{C3380CC4-5D6E-409C-BE32-E72D297353CC}">
              <c16:uniqueId val="{00000002-703B-48A2-B9BB-2C8A40322E69}"/>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55.386593137254899</c:v>
                </c:pt>
                <c:pt idx="1">
                  <c:v>55.386593137254899</c:v>
                </c:pt>
                <c:pt idx="2">
                  <c:v>55.386593137254899</c:v>
                </c:pt>
                <c:pt idx="3">
                  <c:v>55.386593137254899</c:v>
                </c:pt>
                <c:pt idx="4">
                  <c:v>55.386593137254899</c:v>
                </c:pt>
                <c:pt idx="5">
                  <c:v>55.386593137254899</c:v>
                </c:pt>
                <c:pt idx="6">
                  <c:v>55.386593137254899</c:v>
                </c:pt>
                <c:pt idx="7">
                  <c:v>55.386593137254899</c:v>
                </c:pt>
                <c:pt idx="8">
                  <c:v>55.386593137254899</c:v>
                </c:pt>
                <c:pt idx="9">
                  <c:v>55.386593137254899</c:v>
                </c:pt>
                <c:pt idx="10">
                  <c:v>55.386593137254899</c:v>
                </c:pt>
                <c:pt idx="11">
                  <c:v>55.386593137254899</c:v>
                </c:pt>
                <c:pt idx="12">
                  <c:v>55.386593137254899</c:v>
                </c:pt>
                <c:pt idx="13">
                  <c:v>55.386593137254899</c:v>
                </c:pt>
                <c:pt idx="14">
                  <c:v>55.386593137254899</c:v>
                </c:pt>
                <c:pt idx="15">
                  <c:v>55.386593137254899</c:v>
                </c:pt>
                <c:pt idx="16">
                  <c:v>55.386593137254899</c:v>
                </c:pt>
                <c:pt idx="17">
                  <c:v>55.386593137254899</c:v>
                </c:pt>
                <c:pt idx="18">
                  <c:v>55.386593137254899</c:v>
                </c:pt>
                <c:pt idx="19">
                  <c:v>55.386593137254899</c:v>
                </c:pt>
                <c:pt idx="20">
                  <c:v>55.386593137254899</c:v>
                </c:pt>
                <c:pt idx="21">
                  <c:v>55.386593137254899</c:v>
                </c:pt>
                <c:pt idx="22">
                  <c:v>55.386593137254899</c:v>
                </c:pt>
                <c:pt idx="23">
                  <c:v>55.386593137254899</c:v>
                </c:pt>
                <c:pt idx="24">
                  <c:v>55.386593137254899</c:v>
                </c:pt>
                <c:pt idx="25">
                  <c:v>55.386593137254899</c:v>
                </c:pt>
                <c:pt idx="26">
                  <c:v>55.386593137254899</c:v>
                </c:pt>
                <c:pt idx="27">
                  <c:v>55.386593137254899</c:v>
                </c:pt>
                <c:pt idx="28">
                  <c:v>55.386593137254899</c:v>
                </c:pt>
                <c:pt idx="29">
                  <c:v>55.386593137254899</c:v>
                </c:pt>
                <c:pt idx="30">
                  <c:v>55.386593137254899</c:v>
                </c:pt>
                <c:pt idx="31">
                  <c:v>55.386593137254899</c:v>
                </c:pt>
                <c:pt idx="32">
                  <c:v>55.386593137254899</c:v>
                </c:pt>
                <c:pt idx="33">
                  <c:v>55.386593137254899</c:v>
                </c:pt>
                <c:pt idx="34">
                  <c:v>55.386593137254899</c:v>
                </c:pt>
                <c:pt idx="35">
                  <c:v>55.386593137254899</c:v>
                </c:pt>
                <c:pt idx="36">
                  <c:v>55.386593137254899</c:v>
                </c:pt>
                <c:pt idx="37">
                  <c:v>55.386593137254899</c:v>
                </c:pt>
                <c:pt idx="38">
                  <c:v>55.386593137254899</c:v>
                </c:pt>
                <c:pt idx="39">
                  <c:v>55.386593137254899</c:v>
                </c:pt>
                <c:pt idx="40">
                  <c:v>55.386593137254899</c:v>
                </c:pt>
                <c:pt idx="41">
                  <c:v>55.386593137254899</c:v>
                </c:pt>
                <c:pt idx="42">
                  <c:v>55.386593137254899</c:v>
                </c:pt>
                <c:pt idx="43">
                  <c:v>55.386593137254899</c:v>
                </c:pt>
                <c:pt idx="44">
                  <c:v>55.386593137254899</c:v>
                </c:pt>
                <c:pt idx="45">
                  <c:v>55.386593137254899</c:v>
                </c:pt>
                <c:pt idx="46">
                  <c:v>55.386593137254899</c:v>
                </c:pt>
                <c:pt idx="47">
                  <c:v>55.386593137254899</c:v>
                </c:pt>
                <c:pt idx="48">
                  <c:v>55.386593137254899</c:v>
                </c:pt>
                <c:pt idx="49">
                  <c:v>55.386593137254899</c:v>
                </c:pt>
                <c:pt idx="50">
                  <c:v>55.386593137254899</c:v>
                </c:pt>
                <c:pt idx="51">
                  <c:v>55.386593137254899</c:v>
                </c:pt>
                <c:pt idx="52">
                  <c:v>55.386593137254899</c:v>
                </c:pt>
                <c:pt idx="53">
                  <c:v>55.386593137254899</c:v>
                </c:pt>
                <c:pt idx="54">
                  <c:v>55.386593137254899</c:v>
                </c:pt>
                <c:pt idx="55">
                  <c:v>55.386593137254899</c:v>
                </c:pt>
                <c:pt idx="56">
                  <c:v>55.386593137254899</c:v>
                </c:pt>
                <c:pt idx="57">
                  <c:v>55.386593137254899</c:v>
                </c:pt>
                <c:pt idx="58">
                  <c:v>55.386593137254899</c:v>
                </c:pt>
                <c:pt idx="59">
                  <c:v>55.386593137254899</c:v>
                </c:pt>
                <c:pt idx="60">
                  <c:v>55.386593137254899</c:v>
                </c:pt>
                <c:pt idx="61">
                  <c:v>55.386593137254899</c:v>
                </c:pt>
                <c:pt idx="62">
                  <c:v>55.386593137254899</c:v>
                </c:pt>
                <c:pt idx="63">
                  <c:v>55.386593137254899</c:v>
                </c:pt>
                <c:pt idx="64">
                  <c:v>55.386593137254899</c:v>
                </c:pt>
                <c:pt idx="65">
                  <c:v>55.386593137254899</c:v>
                </c:pt>
                <c:pt idx="66">
                  <c:v>55.386593137254899</c:v>
                </c:pt>
                <c:pt idx="67">
                  <c:v>55.386593137254899</c:v>
                </c:pt>
                <c:pt idx="68">
                  <c:v>55.386593137254899</c:v>
                </c:pt>
                <c:pt idx="69">
                  <c:v>55.386593137254899</c:v>
                </c:pt>
                <c:pt idx="70">
                  <c:v>55.386593137254899</c:v>
                </c:pt>
                <c:pt idx="71">
                  <c:v>55.386593137254899</c:v>
                </c:pt>
                <c:pt idx="72">
                  <c:v>55.386593137254899</c:v>
                </c:pt>
                <c:pt idx="73">
                  <c:v>55.386593137254899</c:v>
                </c:pt>
                <c:pt idx="74">
                  <c:v>55.386593137254899</c:v>
                </c:pt>
                <c:pt idx="75">
                  <c:v>55.386593137254899</c:v>
                </c:pt>
                <c:pt idx="76">
                  <c:v>55.386593137254899</c:v>
                </c:pt>
                <c:pt idx="77">
                  <c:v>55.386593137254899</c:v>
                </c:pt>
                <c:pt idx="78">
                  <c:v>55.386593137254899</c:v>
                </c:pt>
                <c:pt idx="79">
                  <c:v>55.386593137254899</c:v>
                </c:pt>
                <c:pt idx="80">
                  <c:v>55.386593137254899</c:v>
                </c:pt>
                <c:pt idx="81">
                  <c:v>55.386593137254899</c:v>
                </c:pt>
                <c:pt idx="82">
                  <c:v>55.386593137254899</c:v>
                </c:pt>
                <c:pt idx="83">
                  <c:v>55.386593137254899</c:v>
                </c:pt>
                <c:pt idx="84">
                  <c:v>55.386593137254899</c:v>
                </c:pt>
                <c:pt idx="85">
                  <c:v>55.386593137254899</c:v>
                </c:pt>
                <c:pt idx="86">
                  <c:v>55.386593137254899</c:v>
                </c:pt>
                <c:pt idx="87">
                  <c:v>55.386593137254899</c:v>
                </c:pt>
                <c:pt idx="88">
                  <c:v>55.386593137254899</c:v>
                </c:pt>
                <c:pt idx="89">
                  <c:v>55.386593137254899</c:v>
                </c:pt>
                <c:pt idx="90">
                  <c:v>55.386593137254899</c:v>
                </c:pt>
                <c:pt idx="91">
                  <c:v>55.386593137254899</c:v>
                </c:pt>
                <c:pt idx="92">
                  <c:v>55.386593137254899</c:v>
                </c:pt>
                <c:pt idx="93">
                  <c:v>55.386593137254899</c:v>
                </c:pt>
                <c:pt idx="94">
                  <c:v>55.386593137254899</c:v>
                </c:pt>
                <c:pt idx="95">
                  <c:v>55.386593137254899</c:v>
                </c:pt>
                <c:pt idx="96">
                  <c:v>55.386593137254899</c:v>
                </c:pt>
                <c:pt idx="97">
                  <c:v>55.386593137254899</c:v>
                </c:pt>
                <c:pt idx="98">
                  <c:v>55.386593137254899</c:v>
                </c:pt>
                <c:pt idx="99">
                  <c:v>55.386593137254899</c:v>
                </c:pt>
              </c:numCache>
            </c:numRef>
          </c:val>
          <c:smooth val="0"/>
          <c:extLst xmlns:c16r2="http://schemas.microsoft.com/office/drawing/2015/06/chart">
            <c:ext xmlns:c16="http://schemas.microsoft.com/office/drawing/2014/chart" uri="{C3380CC4-5D6E-409C-BE32-E72D297353CC}">
              <c16:uniqueId val="{00000003-703B-48A2-B9BB-2C8A40322E69}"/>
            </c:ext>
          </c:extLst>
        </c:ser>
        <c:dLbls>
          <c:showLegendKey val="0"/>
          <c:showVal val="0"/>
          <c:showCatName val="0"/>
          <c:showSerName val="0"/>
          <c:showPercent val="0"/>
          <c:showBubbleSize val="0"/>
        </c:dLbls>
        <c:marker val="1"/>
        <c:smooth val="0"/>
        <c:axId val="197260400"/>
        <c:axId val="197338032"/>
      </c:lineChart>
      <c:catAx>
        <c:axId val="197260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7338032"/>
        <c:crosses val="autoZero"/>
        <c:auto val="1"/>
        <c:lblAlgn val="ctr"/>
        <c:lblOffset val="500"/>
        <c:tickLblSkip val="5"/>
        <c:noMultiLvlLbl val="0"/>
      </c:catAx>
      <c:valAx>
        <c:axId val="1973380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726040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89.174999999999997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A0C-4CAE-8134-81EB626ABBD2}"/>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123.6</c:v>
                </c:pt>
                <c:pt idx="2">
                  <c:v>129.33750000000001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9A0C-4CAE-8134-81EB626ABBD2}"/>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142.875</c:v>
                </c:pt>
                <c:pt idx="4">
                  <c:v>148.61250000000001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9A0C-4CAE-8134-81EB626ABBD2}"/>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164.98750000000001</c:v>
                </c:pt>
                <c:pt idx="6">
                  <c:v>170.72499999999999</c:v>
                </c:pt>
                <c:pt idx="7">
                  <c:v>170.72499999999999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9A0C-4CAE-8134-81EB626ABBD2}"/>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196.27499999999998</c:v>
                </c:pt>
                <c:pt idx="9">
                  <c:v>196.27499999999998</c:v>
                </c:pt>
                <c:pt idx="10">
                  <c:v>211.35000000000002</c:v>
                </c:pt>
                <c:pt idx="11">
                  <c:v>211.35000000000002</c:v>
                </c:pt>
                <c:pt idx="12">
                  <c:v>220.1875</c:v>
                </c:pt>
                <c:pt idx="13">
                  <c:v>220.1875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9A0C-4CAE-8134-81EB626ABBD2}"/>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233.46250000000001</c:v>
                </c:pt>
                <c:pt idx="15">
                  <c:v>233.46250000000001</c:v>
                </c:pt>
                <c:pt idx="16">
                  <c:v>241</c:v>
                </c:pt>
                <c:pt idx="17">
                  <c:v>241</c:v>
                </c:pt>
                <c:pt idx="18">
                  <c:v>248.73750000000001</c:v>
                </c:pt>
                <c:pt idx="19">
                  <c:v>248.73750000000001</c:v>
                </c:pt>
                <c:pt idx="20">
                  <c:v>256.77500000000003</c:v>
                </c:pt>
                <c:pt idx="21">
                  <c:v>256.77500000000003</c:v>
                </c:pt>
                <c:pt idx="22">
                  <c:v>259.27500000000003</c:v>
                </c:pt>
                <c:pt idx="23">
                  <c:v>259.27500000000003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9A0C-4CAE-8134-81EB626ABBD2}"/>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266.61250000000001</c:v>
                </c:pt>
                <c:pt idx="25">
                  <c:v>266.61250000000001</c:v>
                </c:pt>
                <c:pt idx="26">
                  <c:v>274.04999999999995</c:v>
                </c:pt>
                <c:pt idx="27">
                  <c:v>274.04999999999995</c:v>
                </c:pt>
                <c:pt idx="28">
                  <c:v>281.08749999999998</c:v>
                </c:pt>
                <c:pt idx="29">
                  <c:v>281.08749999999998</c:v>
                </c:pt>
                <c:pt idx="30">
                  <c:v>282.48750000000001</c:v>
                </c:pt>
                <c:pt idx="31">
                  <c:v>282.48750000000001</c:v>
                </c:pt>
                <c:pt idx="32">
                  <c:v>290.22500000000002</c:v>
                </c:pt>
                <c:pt idx="33">
                  <c:v>290.22500000000002</c:v>
                </c:pt>
                <c:pt idx="34">
                  <c:v>297.26249999999999</c:v>
                </c:pt>
                <c:pt idx="35">
                  <c:v>297.26249999999999</c:v>
                </c:pt>
                <c:pt idx="36">
                  <c:v>299.26249999999999</c:v>
                </c:pt>
                <c:pt idx="37">
                  <c:v>299.26249999999999</c:v>
                </c:pt>
                <c:pt idx="38">
                  <c:v>306.7</c:v>
                </c:pt>
                <c:pt idx="39">
                  <c:v>306.7</c:v>
                </c:pt>
                <c:pt idx="40">
                  <c:v>314.13750000000005</c:v>
                </c:pt>
                <c:pt idx="41">
                  <c:v>314.13750000000005</c:v>
                </c:pt>
                <c:pt idx="42">
                  <c:v>315.53750000000002</c:v>
                </c:pt>
                <c:pt idx="43">
                  <c:v>315.53750000000002</c:v>
                </c:pt>
                <c:pt idx="44">
                  <c:v>322.375</c:v>
                </c:pt>
                <c:pt idx="45">
                  <c:v>322.375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9A0C-4CAE-8134-81EB626ABBD2}"/>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329.51249999999999</c:v>
                </c:pt>
                <c:pt idx="47">
                  <c:v>329.51249999999999</c:v>
                </c:pt>
                <c:pt idx="48">
                  <c:v>331.01249999999999</c:v>
                </c:pt>
                <c:pt idx="49">
                  <c:v>331.01249999999999</c:v>
                </c:pt>
                <c:pt idx="50">
                  <c:v>337.65</c:v>
                </c:pt>
                <c:pt idx="51">
                  <c:v>337.65</c:v>
                </c:pt>
                <c:pt idx="52">
                  <c:v>344.58749999999998</c:v>
                </c:pt>
                <c:pt idx="53">
                  <c:v>344.58749999999998</c:v>
                </c:pt>
                <c:pt idx="54">
                  <c:v>346.6875</c:v>
                </c:pt>
                <c:pt idx="55">
                  <c:v>346.6875</c:v>
                </c:pt>
                <c:pt idx="56">
                  <c:v>354.52499999999998</c:v>
                </c:pt>
                <c:pt idx="57">
                  <c:v>354.52499999999998</c:v>
                </c:pt>
                <c:pt idx="58">
                  <c:v>362.66250000000002</c:v>
                </c:pt>
                <c:pt idx="59">
                  <c:v>362.66250000000002</c:v>
                </c:pt>
                <c:pt idx="60">
                  <c:v>364.5625</c:v>
                </c:pt>
                <c:pt idx="61">
                  <c:v>364.5625</c:v>
                </c:pt>
                <c:pt idx="62">
                  <c:v>371.80000000000007</c:v>
                </c:pt>
                <c:pt idx="63">
                  <c:v>371.80000000000007</c:v>
                </c:pt>
                <c:pt idx="64">
                  <c:v>379.03750000000002</c:v>
                </c:pt>
                <c:pt idx="65">
                  <c:v>379.03750000000002</c:v>
                </c:pt>
                <c:pt idx="66">
                  <c:v>380.73749999999995</c:v>
                </c:pt>
                <c:pt idx="67">
                  <c:v>380.73749999999995</c:v>
                </c:pt>
                <c:pt idx="68">
                  <c:v>388.17500000000001</c:v>
                </c:pt>
                <c:pt idx="69">
                  <c:v>388.17500000000001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9A0C-4CAE-8134-81EB626ABBD2}"/>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395.31249999999994</c:v>
                </c:pt>
                <c:pt idx="71">
                  <c:v>395.31249999999994</c:v>
                </c:pt>
                <c:pt idx="72">
                  <c:v>402.34999999999997</c:v>
                </c:pt>
                <c:pt idx="73">
                  <c:v>402.34999999999997</c:v>
                </c:pt>
                <c:pt idx="74">
                  <c:v>404.04999999999995</c:v>
                </c:pt>
                <c:pt idx="75">
                  <c:v>404.04999999999995</c:v>
                </c:pt>
                <c:pt idx="76">
                  <c:v>411.48749999999995</c:v>
                </c:pt>
                <c:pt idx="77">
                  <c:v>411.48749999999995</c:v>
                </c:pt>
                <c:pt idx="78">
                  <c:v>419.02499999999998</c:v>
                </c:pt>
                <c:pt idx="79">
                  <c:v>419.02499999999998</c:v>
                </c:pt>
                <c:pt idx="80">
                  <c:v>426.96249999999998</c:v>
                </c:pt>
                <c:pt idx="81">
                  <c:v>426.96249999999998</c:v>
                </c:pt>
                <c:pt idx="82">
                  <c:v>434.1</c:v>
                </c:pt>
                <c:pt idx="83">
                  <c:v>434.1</c:v>
                </c:pt>
                <c:pt idx="84">
                  <c:v>441.23750000000001</c:v>
                </c:pt>
                <c:pt idx="85">
                  <c:v>441.23750000000001</c:v>
                </c:pt>
                <c:pt idx="86">
                  <c:v>448.47500000000002</c:v>
                </c:pt>
                <c:pt idx="87">
                  <c:v>448.47500000000002</c:v>
                </c:pt>
                <c:pt idx="88">
                  <c:v>467.6875</c:v>
                </c:pt>
                <c:pt idx="89">
                  <c:v>467.6875</c:v>
                </c:pt>
                <c:pt idx="90">
                  <c:v>481.0625</c:v>
                </c:pt>
                <c:pt idx="91">
                  <c:v>481.0625</c:v>
                </c:pt>
                <c:pt idx="92">
                  <c:v>507.41250000000002</c:v>
                </c:pt>
                <c:pt idx="93">
                  <c:v>507.41250000000002</c:v>
                </c:pt>
                <c:pt idx="94">
                  <c:v>523.6875</c:v>
                </c:pt>
                <c:pt idx="95">
                  <c:v>535.92500000000007</c:v>
                </c:pt>
                <c:pt idx="96">
                  <c:v>541.66249999999991</c:v>
                </c:pt>
                <c:pt idx="97">
                  <c:v>575.47500000000002</c:v>
                </c:pt>
                <c:pt idx="98">
                  <c:v>586.95000000000005</c:v>
                </c:pt>
                <c:pt idx="99">
                  <c:v>660.07500000000005</c:v>
                </c:pt>
              </c:numCache>
            </c:numRef>
          </c:val>
          <c:extLst xmlns:c16r2="http://schemas.microsoft.com/office/drawing/2015/06/chart">
            <c:ext xmlns:c16="http://schemas.microsoft.com/office/drawing/2014/chart" uri="{C3380CC4-5D6E-409C-BE32-E72D297353CC}">
              <c16:uniqueId val="{00000008-9A0C-4CAE-8134-81EB626ABBD2}"/>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295.10833078883383</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9A0C-4CAE-8134-81EB626ABBD2}"/>
            </c:ext>
          </c:extLst>
        </c:ser>
        <c:dLbls>
          <c:showLegendKey val="0"/>
          <c:showVal val="0"/>
          <c:showCatName val="0"/>
          <c:showSerName val="0"/>
          <c:showPercent val="0"/>
          <c:showBubbleSize val="0"/>
        </c:dLbls>
        <c:gapWidth val="0"/>
        <c:overlap val="100"/>
        <c:axId val="197734912"/>
        <c:axId val="19773547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272.20242034313725</c:v>
                </c:pt>
                <c:pt idx="1">
                  <c:v>272.20242034313725</c:v>
                </c:pt>
                <c:pt idx="2">
                  <c:v>272.20242034313725</c:v>
                </c:pt>
                <c:pt idx="3">
                  <c:v>272.20242034313725</c:v>
                </c:pt>
                <c:pt idx="4">
                  <c:v>272.20242034313725</c:v>
                </c:pt>
                <c:pt idx="5">
                  <c:v>272.20242034313725</c:v>
                </c:pt>
                <c:pt idx="6">
                  <c:v>272.20242034313725</c:v>
                </c:pt>
                <c:pt idx="7">
                  <c:v>272.20242034313725</c:v>
                </c:pt>
                <c:pt idx="8">
                  <c:v>272.20242034313725</c:v>
                </c:pt>
                <c:pt idx="9">
                  <c:v>272.20242034313725</c:v>
                </c:pt>
                <c:pt idx="10">
                  <c:v>272.20242034313725</c:v>
                </c:pt>
                <c:pt idx="11">
                  <c:v>272.20242034313725</c:v>
                </c:pt>
                <c:pt idx="12">
                  <c:v>272.20242034313725</c:v>
                </c:pt>
                <c:pt idx="13">
                  <c:v>272.20242034313725</c:v>
                </c:pt>
                <c:pt idx="14">
                  <c:v>272.20242034313725</c:v>
                </c:pt>
                <c:pt idx="15">
                  <c:v>272.20242034313725</c:v>
                </c:pt>
                <c:pt idx="16">
                  <c:v>272.20242034313725</c:v>
                </c:pt>
                <c:pt idx="17">
                  <c:v>272.20242034313725</c:v>
                </c:pt>
                <c:pt idx="18">
                  <c:v>272.20242034313725</c:v>
                </c:pt>
                <c:pt idx="19">
                  <c:v>272.20242034313725</c:v>
                </c:pt>
                <c:pt idx="20">
                  <c:v>272.20242034313725</c:v>
                </c:pt>
                <c:pt idx="21">
                  <c:v>272.20242034313725</c:v>
                </c:pt>
                <c:pt idx="22">
                  <c:v>272.20242034313725</c:v>
                </c:pt>
                <c:pt idx="23">
                  <c:v>272.20242034313725</c:v>
                </c:pt>
                <c:pt idx="24">
                  <c:v>272.20242034313725</c:v>
                </c:pt>
                <c:pt idx="25">
                  <c:v>272.20242034313725</c:v>
                </c:pt>
                <c:pt idx="26">
                  <c:v>272.20242034313725</c:v>
                </c:pt>
                <c:pt idx="27">
                  <c:v>272.20242034313725</c:v>
                </c:pt>
                <c:pt idx="28">
                  <c:v>272.20242034313725</c:v>
                </c:pt>
                <c:pt idx="29">
                  <c:v>272.20242034313725</c:v>
                </c:pt>
                <c:pt idx="30">
                  <c:v>272.20242034313725</c:v>
                </c:pt>
                <c:pt idx="31">
                  <c:v>272.20242034313725</c:v>
                </c:pt>
                <c:pt idx="32">
                  <c:v>272.20242034313725</c:v>
                </c:pt>
                <c:pt idx="33">
                  <c:v>272.20242034313725</c:v>
                </c:pt>
                <c:pt idx="34">
                  <c:v>272.20242034313725</c:v>
                </c:pt>
                <c:pt idx="35">
                  <c:v>272.20242034313725</c:v>
                </c:pt>
                <c:pt idx="36">
                  <c:v>272.20242034313725</c:v>
                </c:pt>
                <c:pt idx="37">
                  <c:v>272.20242034313725</c:v>
                </c:pt>
                <c:pt idx="38">
                  <c:v>272.20242034313725</c:v>
                </c:pt>
                <c:pt idx="39">
                  <c:v>272.20242034313725</c:v>
                </c:pt>
                <c:pt idx="40">
                  <c:v>272.20242034313725</c:v>
                </c:pt>
                <c:pt idx="41">
                  <c:v>272.20242034313725</c:v>
                </c:pt>
                <c:pt idx="42">
                  <c:v>272.20242034313725</c:v>
                </c:pt>
                <c:pt idx="43">
                  <c:v>272.20242034313725</c:v>
                </c:pt>
                <c:pt idx="44">
                  <c:v>272.20242034313725</c:v>
                </c:pt>
                <c:pt idx="45">
                  <c:v>272.20242034313725</c:v>
                </c:pt>
                <c:pt idx="46">
                  <c:v>272.20242034313725</c:v>
                </c:pt>
                <c:pt idx="47">
                  <c:v>272.20242034313725</c:v>
                </c:pt>
                <c:pt idx="48">
                  <c:v>272.20242034313725</c:v>
                </c:pt>
                <c:pt idx="49">
                  <c:v>272.20242034313725</c:v>
                </c:pt>
                <c:pt idx="50">
                  <c:v>272.20242034313725</c:v>
                </c:pt>
                <c:pt idx="51">
                  <c:v>272.20242034313725</c:v>
                </c:pt>
                <c:pt idx="52">
                  <c:v>272.20242034313725</c:v>
                </c:pt>
                <c:pt idx="53">
                  <c:v>272.20242034313725</c:v>
                </c:pt>
                <c:pt idx="54">
                  <c:v>272.20242034313725</c:v>
                </c:pt>
                <c:pt idx="55">
                  <c:v>272.20242034313725</c:v>
                </c:pt>
                <c:pt idx="56">
                  <c:v>272.20242034313725</c:v>
                </c:pt>
                <c:pt idx="57">
                  <c:v>272.20242034313725</c:v>
                </c:pt>
                <c:pt idx="58">
                  <c:v>272.20242034313725</c:v>
                </c:pt>
                <c:pt idx="59">
                  <c:v>272.20242034313725</c:v>
                </c:pt>
                <c:pt idx="60">
                  <c:v>272.20242034313725</c:v>
                </c:pt>
                <c:pt idx="61">
                  <c:v>272.20242034313725</c:v>
                </c:pt>
                <c:pt idx="62">
                  <c:v>272.20242034313725</c:v>
                </c:pt>
                <c:pt idx="63">
                  <c:v>272.20242034313725</c:v>
                </c:pt>
                <c:pt idx="64">
                  <c:v>272.20242034313725</c:v>
                </c:pt>
                <c:pt idx="65">
                  <c:v>272.20242034313725</c:v>
                </c:pt>
                <c:pt idx="66">
                  <c:v>272.20242034313725</c:v>
                </c:pt>
                <c:pt idx="67">
                  <c:v>272.20242034313725</c:v>
                </c:pt>
                <c:pt idx="68">
                  <c:v>272.20242034313725</c:v>
                </c:pt>
                <c:pt idx="69">
                  <c:v>272.20242034313725</c:v>
                </c:pt>
                <c:pt idx="70">
                  <c:v>272.20242034313725</c:v>
                </c:pt>
                <c:pt idx="71">
                  <c:v>272.20242034313725</c:v>
                </c:pt>
                <c:pt idx="72">
                  <c:v>272.20242034313725</c:v>
                </c:pt>
                <c:pt idx="73">
                  <c:v>272.20242034313725</c:v>
                </c:pt>
                <c:pt idx="74">
                  <c:v>272.20242034313725</c:v>
                </c:pt>
                <c:pt idx="75">
                  <c:v>272.20242034313725</c:v>
                </c:pt>
                <c:pt idx="76">
                  <c:v>272.20242034313725</c:v>
                </c:pt>
                <c:pt idx="77">
                  <c:v>272.20242034313725</c:v>
                </c:pt>
                <c:pt idx="78">
                  <c:v>272.20242034313725</c:v>
                </c:pt>
                <c:pt idx="79">
                  <c:v>272.20242034313725</c:v>
                </c:pt>
                <c:pt idx="80">
                  <c:v>272.20242034313725</c:v>
                </c:pt>
                <c:pt idx="81">
                  <c:v>272.20242034313725</c:v>
                </c:pt>
                <c:pt idx="82">
                  <c:v>272.20242034313725</c:v>
                </c:pt>
                <c:pt idx="83">
                  <c:v>272.20242034313725</c:v>
                </c:pt>
                <c:pt idx="84">
                  <c:v>272.20242034313725</c:v>
                </c:pt>
                <c:pt idx="85">
                  <c:v>272.20242034313725</c:v>
                </c:pt>
                <c:pt idx="86">
                  <c:v>272.20242034313725</c:v>
                </c:pt>
                <c:pt idx="87">
                  <c:v>272.20242034313725</c:v>
                </c:pt>
                <c:pt idx="88">
                  <c:v>272.20242034313725</c:v>
                </c:pt>
                <c:pt idx="89">
                  <c:v>272.20242034313725</c:v>
                </c:pt>
                <c:pt idx="90">
                  <c:v>272.20242034313725</c:v>
                </c:pt>
                <c:pt idx="91">
                  <c:v>272.20242034313725</c:v>
                </c:pt>
                <c:pt idx="92">
                  <c:v>272.20242034313725</c:v>
                </c:pt>
                <c:pt idx="93">
                  <c:v>272.20242034313725</c:v>
                </c:pt>
                <c:pt idx="94">
                  <c:v>272.20242034313725</c:v>
                </c:pt>
                <c:pt idx="95">
                  <c:v>272.20242034313725</c:v>
                </c:pt>
                <c:pt idx="96">
                  <c:v>272.20242034313725</c:v>
                </c:pt>
                <c:pt idx="97">
                  <c:v>272.20242034313725</c:v>
                </c:pt>
                <c:pt idx="98">
                  <c:v>272.20242034313725</c:v>
                </c:pt>
                <c:pt idx="99">
                  <c:v>272.20242034313725</c:v>
                </c:pt>
              </c:numCache>
            </c:numRef>
          </c:val>
          <c:smooth val="0"/>
          <c:extLst xmlns:c16r2="http://schemas.microsoft.com/office/drawing/2015/06/chart">
            <c:ext xmlns:c16="http://schemas.microsoft.com/office/drawing/2014/chart" uri="{C3380CC4-5D6E-409C-BE32-E72D297353CC}">
              <c16:uniqueId val="{0000000A-9A0C-4CAE-8134-81EB626ABBD2}"/>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114.88096813725491</c:v>
                </c:pt>
                <c:pt idx="1">
                  <c:v>114.88096813725491</c:v>
                </c:pt>
                <c:pt idx="2">
                  <c:v>114.88096813725491</c:v>
                </c:pt>
                <c:pt idx="3">
                  <c:v>114.88096813725491</c:v>
                </c:pt>
                <c:pt idx="4">
                  <c:v>114.88096813725491</c:v>
                </c:pt>
                <c:pt idx="5">
                  <c:v>114.88096813725491</c:v>
                </c:pt>
                <c:pt idx="6">
                  <c:v>114.88096813725491</c:v>
                </c:pt>
                <c:pt idx="7">
                  <c:v>114.88096813725491</c:v>
                </c:pt>
                <c:pt idx="8">
                  <c:v>114.88096813725491</c:v>
                </c:pt>
                <c:pt idx="9">
                  <c:v>114.88096813725491</c:v>
                </c:pt>
                <c:pt idx="10">
                  <c:v>114.88096813725491</c:v>
                </c:pt>
                <c:pt idx="11">
                  <c:v>114.88096813725491</c:v>
                </c:pt>
                <c:pt idx="12">
                  <c:v>114.88096813725491</c:v>
                </c:pt>
                <c:pt idx="13">
                  <c:v>114.88096813725491</c:v>
                </c:pt>
                <c:pt idx="14">
                  <c:v>114.88096813725491</c:v>
                </c:pt>
                <c:pt idx="15">
                  <c:v>114.88096813725491</c:v>
                </c:pt>
                <c:pt idx="16">
                  <c:v>114.88096813725491</c:v>
                </c:pt>
                <c:pt idx="17">
                  <c:v>114.88096813725491</c:v>
                </c:pt>
                <c:pt idx="18">
                  <c:v>114.88096813725491</c:v>
                </c:pt>
                <c:pt idx="19">
                  <c:v>114.88096813725491</c:v>
                </c:pt>
                <c:pt idx="20">
                  <c:v>114.88096813725491</c:v>
                </c:pt>
                <c:pt idx="21">
                  <c:v>114.88096813725491</c:v>
                </c:pt>
                <c:pt idx="22">
                  <c:v>114.88096813725491</c:v>
                </c:pt>
                <c:pt idx="23">
                  <c:v>114.88096813725491</c:v>
                </c:pt>
                <c:pt idx="24">
                  <c:v>114.88096813725491</c:v>
                </c:pt>
                <c:pt idx="25">
                  <c:v>114.88096813725491</c:v>
                </c:pt>
                <c:pt idx="26">
                  <c:v>114.88096813725491</c:v>
                </c:pt>
                <c:pt idx="27">
                  <c:v>114.88096813725491</c:v>
                </c:pt>
                <c:pt idx="28">
                  <c:v>114.88096813725491</c:v>
                </c:pt>
                <c:pt idx="29">
                  <c:v>114.88096813725491</c:v>
                </c:pt>
                <c:pt idx="30">
                  <c:v>114.88096813725491</c:v>
                </c:pt>
                <c:pt idx="31">
                  <c:v>114.88096813725491</c:v>
                </c:pt>
                <c:pt idx="32">
                  <c:v>114.88096813725491</c:v>
                </c:pt>
                <c:pt idx="33">
                  <c:v>114.88096813725491</c:v>
                </c:pt>
                <c:pt idx="34">
                  <c:v>114.88096813725491</c:v>
                </c:pt>
                <c:pt idx="35">
                  <c:v>114.88096813725491</c:v>
                </c:pt>
                <c:pt idx="36">
                  <c:v>114.88096813725491</c:v>
                </c:pt>
                <c:pt idx="37">
                  <c:v>114.88096813725491</c:v>
                </c:pt>
                <c:pt idx="38">
                  <c:v>114.88096813725491</c:v>
                </c:pt>
                <c:pt idx="39">
                  <c:v>114.88096813725491</c:v>
                </c:pt>
                <c:pt idx="40">
                  <c:v>114.88096813725491</c:v>
                </c:pt>
                <c:pt idx="41">
                  <c:v>114.88096813725491</c:v>
                </c:pt>
                <c:pt idx="42">
                  <c:v>114.88096813725491</c:v>
                </c:pt>
                <c:pt idx="43">
                  <c:v>114.88096813725491</c:v>
                </c:pt>
                <c:pt idx="44">
                  <c:v>114.88096813725491</c:v>
                </c:pt>
                <c:pt idx="45">
                  <c:v>114.88096813725491</c:v>
                </c:pt>
                <c:pt idx="46">
                  <c:v>114.88096813725491</c:v>
                </c:pt>
                <c:pt idx="47">
                  <c:v>114.88096813725491</c:v>
                </c:pt>
                <c:pt idx="48">
                  <c:v>114.88096813725491</c:v>
                </c:pt>
                <c:pt idx="49">
                  <c:v>114.88096813725491</c:v>
                </c:pt>
                <c:pt idx="50">
                  <c:v>114.88096813725491</c:v>
                </c:pt>
                <c:pt idx="51">
                  <c:v>114.88096813725491</c:v>
                </c:pt>
                <c:pt idx="52">
                  <c:v>114.88096813725491</c:v>
                </c:pt>
                <c:pt idx="53">
                  <c:v>114.88096813725491</c:v>
                </c:pt>
                <c:pt idx="54">
                  <c:v>114.88096813725491</c:v>
                </c:pt>
                <c:pt idx="55">
                  <c:v>114.88096813725491</c:v>
                </c:pt>
                <c:pt idx="56">
                  <c:v>114.88096813725491</c:v>
                </c:pt>
                <c:pt idx="57">
                  <c:v>114.88096813725491</c:v>
                </c:pt>
                <c:pt idx="58">
                  <c:v>114.88096813725491</c:v>
                </c:pt>
                <c:pt idx="59">
                  <c:v>114.88096813725491</c:v>
                </c:pt>
                <c:pt idx="60">
                  <c:v>114.88096813725491</c:v>
                </c:pt>
                <c:pt idx="61">
                  <c:v>114.88096813725491</c:v>
                </c:pt>
                <c:pt idx="62">
                  <c:v>114.88096813725491</c:v>
                </c:pt>
                <c:pt idx="63">
                  <c:v>114.88096813725491</c:v>
                </c:pt>
                <c:pt idx="64">
                  <c:v>114.88096813725491</c:v>
                </c:pt>
                <c:pt idx="65">
                  <c:v>114.88096813725491</c:v>
                </c:pt>
                <c:pt idx="66">
                  <c:v>114.88096813725491</c:v>
                </c:pt>
                <c:pt idx="67">
                  <c:v>114.88096813725491</c:v>
                </c:pt>
                <c:pt idx="68">
                  <c:v>114.88096813725491</c:v>
                </c:pt>
                <c:pt idx="69">
                  <c:v>114.88096813725491</c:v>
                </c:pt>
                <c:pt idx="70">
                  <c:v>114.88096813725491</c:v>
                </c:pt>
                <c:pt idx="71">
                  <c:v>114.88096813725491</c:v>
                </c:pt>
                <c:pt idx="72">
                  <c:v>114.88096813725491</c:v>
                </c:pt>
                <c:pt idx="73">
                  <c:v>114.88096813725491</c:v>
                </c:pt>
                <c:pt idx="74">
                  <c:v>114.88096813725491</c:v>
                </c:pt>
                <c:pt idx="75">
                  <c:v>114.88096813725491</c:v>
                </c:pt>
                <c:pt idx="76">
                  <c:v>114.88096813725491</c:v>
                </c:pt>
                <c:pt idx="77">
                  <c:v>114.88096813725491</c:v>
                </c:pt>
                <c:pt idx="78">
                  <c:v>114.88096813725491</c:v>
                </c:pt>
                <c:pt idx="79">
                  <c:v>114.88096813725491</c:v>
                </c:pt>
                <c:pt idx="80">
                  <c:v>114.88096813725491</c:v>
                </c:pt>
                <c:pt idx="81">
                  <c:v>114.88096813725491</c:v>
                </c:pt>
                <c:pt idx="82">
                  <c:v>114.88096813725491</c:v>
                </c:pt>
                <c:pt idx="83">
                  <c:v>114.88096813725491</c:v>
                </c:pt>
                <c:pt idx="84">
                  <c:v>114.88096813725491</c:v>
                </c:pt>
                <c:pt idx="85">
                  <c:v>114.88096813725491</c:v>
                </c:pt>
                <c:pt idx="86">
                  <c:v>114.88096813725491</c:v>
                </c:pt>
                <c:pt idx="87">
                  <c:v>114.88096813725491</c:v>
                </c:pt>
                <c:pt idx="88">
                  <c:v>114.88096813725491</c:v>
                </c:pt>
                <c:pt idx="89">
                  <c:v>114.88096813725491</c:v>
                </c:pt>
                <c:pt idx="90">
                  <c:v>114.88096813725491</c:v>
                </c:pt>
                <c:pt idx="91">
                  <c:v>114.88096813725491</c:v>
                </c:pt>
                <c:pt idx="92">
                  <c:v>114.88096813725491</c:v>
                </c:pt>
                <c:pt idx="93">
                  <c:v>114.88096813725491</c:v>
                </c:pt>
                <c:pt idx="94">
                  <c:v>114.88096813725491</c:v>
                </c:pt>
                <c:pt idx="95">
                  <c:v>114.88096813725491</c:v>
                </c:pt>
                <c:pt idx="96">
                  <c:v>114.88096813725491</c:v>
                </c:pt>
                <c:pt idx="97">
                  <c:v>114.88096813725491</c:v>
                </c:pt>
                <c:pt idx="98">
                  <c:v>114.88096813725491</c:v>
                </c:pt>
                <c:pt idx="99">
                  <c:v>114.88096813725491</c:v>
                </c:pt>
              </c:numCache>
            </c:numRef>
          </c:val>
          <c:smooth val="1"/>
          <c:extLst xmlns:c16r2="http://schemas.microsoft.com/office/drawing/2015/06/chart">
            <c:ext xmlns:c16="http://schemas.microsoft.com/office/drawing/2014/chart" uri="{C3380CC4-5D6E-409C-BE32-E72D297353CC}">
              <c16:uniqueId val="{0000000B-9A0C-4CAE-8134-81EB626ABBD2}"/>
            </c:ext>
          </c:extLst>
        </c:ser>
        <c:dLbls>
          <c:showLegendKey val="0"/>
          <c:showVal val="0"/>
          <c:showCatName val="0"/>
          <c:showSerName val="0"/>
          <c:showPercent val="0"/>
          <c:showBubbleSize val="0"/>
        </c:dLbls>
        <c:marker val="1"/>
        <c:smooth val="0"/>
        <c:axId val="197734912"/>
        <c:axId val="197735472"/>
      </c:lineChart>
      <c:catAx>
        <c:axId val="197734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7735472"/>
        <c:crosses val="autoZero"/>
        <c:auto val="1"/>
        <c:lblAlgn val="ctr"/>
        <c:lblOffset val="500"/>
        <c:tickLblSkip val="5"/>
        <c:tickMarkSkip val="10"/>
        <c:noMultiLvlLbl val="0"/>
      </c:catAx>
      <c:valAx>
        <c:axId val="1977354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7734912"/>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C400-472C-B2B2-D5A824355E7C}"/>
            </c:ext>
          </c:extLst>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3.8163524461606466E-2</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400-472C-B2B2-D5A824355E7C}"/>
            </c:ext>
          </c:extLst>
        </c:ser>
        <c:dLbls>
          <c:showLegendKey val="0"/>
          <c:showVal val="0"/>
          <c:showCatName val="0"/>
          <c:showSerName val="0"/>
          <c:showPercent val="0"/>
          <c:showBubbleSize val="0"/>
        </c:dLbls>
        <c:gapWidth val="0"/>
        <c:overlap val="100"/>
        <c:axId val="337920304"/>
        <c:axId val="33792086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1.9963069287660569E-2</c:v>
                </c:pt>
                <c:pt idx="1">
                  <c:v>1.9963069287660569E-2</c:v>
                </c:pt>
                <c:pt idx="2">
                  <c:v>1.9963069287660569E-2</c:v>
                </c:pt>
                <c:pt idx="3">
                  <c:v>1.9963069287660569E-2</c:v>
                </c:pt>
                <c:pt idx="4">
                  <c:v>1.9963069287660569E-2</c:v>
                </c:pt>
                <c:pt idx="5">
                  <c:v>1.9963069287660569E-2</c:v>
                </c:pt>
                <c:pt idx="6">
                  <c:v>1.9963069287660569E-2</c:v>
                </c:pt>
                <c:pt idx="7">
                  <c:v>1.9963069287660569E-2</c:v>
                </c:pt>
                <c:pt idx="8">
                  <c:v>1.9963069287660569E-2</c:v>
                </c:pt>
                <c:pt idx="9">
                  <c:v>1.9963069287660569E-2</c:v>
                </c:pt>
                <c:pt idx="10">
                  <c:v>1.9963069287660569E-2</c:v>
                </c:pt>
                <c:pt idx="11">
                  <c:v>1.9963069287660569E-2</c:v>
                </c:pt>
                <c:pt idx="12">
                  <c:v>1.9963069287660569E-2</c:v>
                </c:pt>
                <c:pt idx="13">
                  <c:v>1.9963069287660569E-2</c:v>
                </c:pt>
                <c:pt idx="14">
                  <c:v>1.9963069287660569E-2</c:v>
                </c:pt>
                <c:pt idx="15">
                  <c:v>1.9963069287660569E-2</c:v>
                </c:pt>
                <c:pt idx="16">
                  <c:v>1.9963069287660569E-2</c:v>
                </c:pt>
                <c:pt idx="17">
                  <c:v>1.9963069287660569E-2</c:v>
                </c:pt>
                <c:pt idx="18">
                  <c:v>1.9963069287660569E-2</c:v>
                </c:pt>
                <c:pt idx="19">
                  <c:v>1.9963069287660569E-2</c:v>
                </c:pt>
                <c:pt idx="20">
                  <c:v>1.9963069287660569E-2</c:v>
                </c:pt>
                <c:pt idx="21">
                  <c:v>1.9963069287660569E-2</c:v>
                </c:pt>
                <c:pt idx="22">
                  <c:v>1.9963069287660569E-2</c:v>
                </c:pt>
                <c:pt idx="23">
                  <c:v>1.9963069287660569E-2</c:v>
                </c:pt>
                <c:pt idx="24">
                  <c:v>1.9963069287660569E-2</c:v>
                </c:pt>
                <c:pt idx="25">
                  <c:v>1.9963069287660569E-2</c:v>
                </c:pt>
                <c:pt idx="26">
                  <c:v>1.9963069287660569E-2</c:v>
                </c:pt>
                <c:pt idx="27">
                  <c:v>1.9963069287660569E-2</c:v>
                </c:pt>
                <c:pt idx="28">
                  <c:v>1.9963069287660569E-2</c:v>
                </c:pt>
                <c:pt idx="29">
                  <c:v>1.9963069287660569E-2</c:v>
                </c:pt>
                <c:pt idx="30">
                  <c:v>1.9963069287660569E-2</c:v>
                </c:pt>
                <c:pt idx="31">
                  <c:v>1.9963069287660569E-2</c:v>
                </c:pt>
                <c:pt idx="32">
                  <c:v>1.9963069287660569E-2</c:v>
                </c:pt>
                <c:pt idx="33">
                  <c:v>1.9963069287660569E-2</c:v>
                </c:pt>
                <c:pt idx="34">
                  <c:v>1.9963069287660569E-2</c:v>
                </c:pt>
                <c:pt idx="35">
                  <c:v>1.9963069287660569E-2</c:v>
                </c:pt>
                <c:pt idx="36">
                  <c:v>1.9963069287660569E-2</c:v>
                </c:pt>
                <c:pt idx="37">
                  <c:v>1.9963069287660569E-2</c:v>
                </c:pt>
                <c:pt idx="38">
                  <c:v>1.9963069287660569E-2</c:v>
                </c:pt>
                <c:pt idx="39">
                  <c:v>1.9963069287660569E-2</c:v>
                </c:pt>
                <c:pt idx="40">
                  <c:v>1.9963069287660569E-2</c:v>
                </c:pt>
                <c:pt idx="41">
                  <c:v>1.9963069287660569E-2</c:v>
                </c:pt>
                <c:pt idx="42">
                  <c:v>1.9963069287660569E-2</c:v>
                </c:pt>
                <c:pt idx="43">
                  <c:v>1.9963069287660569E-2</c:v>
                </c:pt>
                <c:pt idx="44">
                  <c:v>1.9963069287660569E-2</c:v>
                </c:pt>
                <c:pt idx="45">
                  <c:v>1.9963069287660569E-2</c:v>
                </c:pt>
                <c:pt idx="46">
                  <c:v>1.9963069287660569E-2</c:v>
                </c:pt>
                <c:pt idx="47">
                  <c:v>1.9963069287660569E-2</c:v>
                </c:pt>
                <c:pt idx="48">
                  <c:v>1.9963069287660569E-2</c:v>
                </c:pt>
                <c:pt idx="49">
                  <c:v>1.9963069287660569E-2</c:v>
                </c:pt>
                <c:pt idx="50">
                  <c:v>1.9963069287660569E-2</c:v>
                </c:pt>
                <c:pt idx="51">
                  <c:v>1.9963069287660569E-2</c:v>
                </c:pt>
                <c:pt idx="52">
                  <c:v>1.9963069287660569E-2</c:v>
                </c:pt>
                <c:pt idx="53">
                  <c:v>1.9963069287660569E-2</c:v>
                </c:pt>
                <c:pt idx="54">
                  <c:v>1.9963069287660569E-2</c:v>
                </c:pt>
                <c:pt idx="55">
                  <c:v>1.9963069287660569E-2</c:v>
                </c:pt>
                <c:pt idx="56">
                  <c:v>1.9963069287660569E-2</c:v>
                </c:pt>
                <c:pt idx="57">
                  <c:v>1.9963069287660569E-2</c:v>
                </c:pt>
                <c:pt idx="58">
                  <c:v>1.9963069287660569E-2</c:v>
                </c:pt>
                <c:pt idx="59">
                  <c:v>1.9963069287660569E-2</c:v>
                </c:pt>
                <c:pt idx="60">
                  <c:v>1.9963069287660569E-2</c:v>
                </c:pt>
                <c:pt idx="61">
                  <c:v>1.9963069287660569E-2</c:v>
                </c:pt>
                <c:pt idx="62">
                  <c:v>1.9963069287660569E-2</c:v>
                </c:pt>
                <c:pt idx="63">
                  <c:v>1.9963069287660569E-2</c:v>
                </c:pt>
                <c:pt idx="64">
                  <c:v>1.9963069287660569E-2</c:v>
                </c:pt>
                <c:pt idx="65">
                  <c:v>1.9963069287660569E-2</c:v>
                </c:pt>
                <c:pt idx="66">
                  <c:v>1.9963069287660569E-2</c:v>
                </c:pt>
                <c:pt idx="67">
                  <c:v>1.9963069287660569E-2</c:v>
                </c:pt>
                <c:pt idx="68">
                  <c:v>1.9963069287660569E-2</c:v>
                </c:pt>
                <c:pt idx="69">
                  <c:v>1.9963069287660569E-2</c:v>
                </c:pt>
                <c:pt idx="70">
                  <c:v>1.9963069287660569E-2</c:v>
                </c:pt>
                <c:pt idx="71">
                  <c:v>1.9963069287660569E-2</c:v>
                </c:pt>
                <c:pt idx="72">
                  <c:v>1.9963069287660569E-2</c:v>
                </c:pt>
                <c:pt idx="73">
                  <c:v>1.9963069287660569E-2</c:v>
                </c:pt>
                <c:pt idx="74">
                  <c:v>1.9963069287660569E-2</c:v>
                </c:pt>
                <c:pt idx="75">
                  <c:v>1.9963069287660569E-2</c:v>
                </c:pt>
                <c:pt idx="76">
                  <c:v>1.9963069287660569E-2</c:v>
                </c:pt>
                <c:pt idx="77">
                  <c:v>1.9963069287660569E-2</c:v>
                </c:pt>
                <c:pt idx="78">
                  <c:v>1.9963069287660569E-2</c:v>
                </c:pt>
                <c:pt idx="79">
                  <c:v>1.9963069287660569E-2</c:v>
                </c:pt>
                <c:pt idx="80">
                  <c:v>1.9963069287660569E-2</c:v>
                </c:pt>
                <c:pt idx="81">
                  <c:v>1.9963069287660569E-2</c:v>
                </c:pt>
                <c:pt idx="82">
                  <c:v>1.9963069287660569E-2</c:v>
                </c:pt>
                <c:pt idx="83">
                  <c:v>1.9963069287660569E-2</c:v>
                </c:pt>
                <c:pt idx="84">
                  <c:v>1.9963069287660569E-2</c:v>
                </c:pt>
                <c:pt idx="85">
                  <c:v>1.9963069287660569E-2</c:v>
                </c:pt>
                <c:pt idx="86">
                  <c:v>1.9963069287660569E-2</c:v>
                </c:pt>
                <c:pt idx="87">
                  <c:v>1.9963069287660569E-2</c:v>
                </c:pt>
                <c:pt idx="88">
                  <c:v>1.9963069287660569E-2</c:v>
                </c:pt>
                <c:pt idx="89">
                  <c:v>1.9963069287660569E-2</c:v>
                </c:pt>
                <c:pt idx="90">
                  <c:v>1.9963069287660569E-2</c:v>
                </c:pt>
                <c:pt idx="91">
                  <c:v>1.9963069287660569E-2</c:v>
                </c:pt>
                <c:pt idx="92">
                  <c:v>1.9963069287660569E-2</c:v>
                </c:pt>
                <c:pt idx="93">
                  <c:v>1.9963069287660569E-2</c:v>
                </c:pt>
                <c:pt idx="94">
                  <c:v>1.9963069287660569E-2</c:v>
                </c:pt>
                <c:pt idx="95">
                  <c:v>1.9963069287660569E-2</c:v>
                </c:pt>
                <c:pt idx="96">
                  <c:v>1.9963069287660569E-2</c:v>
                </c:pt>
                <c:pt idx="97">
                  <c:v>1.9963069287660569E-2</c:v>
                </c:pt>
                <c:pt idx="98">
                  <c:v>1.9963069287660569E-2</c:v>
                </c:pt>
                <c:pt idx="99">
                  <c:v>1.9963069287660569E-2</c:v>
                </c:pt>
              </c:numCache>
            </c:numRef>
          </c:val>
          <c:smooth val="0"/>
          <c:extLst xmlns:c16r2="http://schemas.microsoft.com/office/drawing/2015/06/chart">
            <c:ext xmlns:c16="http://schemas.microsoft.com/office/drawing/2014/chart" uri="{C3380CC4-5D6E-409C-BE32-E72D297353CC}">
              <c16:uniqueId val="{00000002-C400-472C-B2B2-D5A824355E7C}"/>
            </c:ext>
          </c:extLst>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7.9852277150642276E-3</c:v>
                </c:pt>
                <c:pt idx="1">
                  <c:v>7.9852277150642276E-3</c:v>
                </c:pt>
                <c:pt idx="2">
                  <c:v>7.9852277150642276E-3</c:v>
                </c:pt>
                <c:pt idx="3">
                  <c:v>7.9852277150642276E-3</c:v>
                </c:pt>
                <c:pt idx="4">
                  <c:v>7.9852277150642276E-3</c:v>
                </c:pt>
                <c:pt idx="5">
                  <c:v>7.9852277150642276E-3</c:v>
                </c:pt>
                <c:pt idx="6">
                  <c:v>7.9852277150642276E-3</c:v>
                </c:pt>
                <c:pt idx="7">
                  <c:v>7.9852277150642276E-3</c:v>
                </c:pt>
                <c:pt idx="8">
                  <c:v>7.9852277150642276E-3</c:v>
                </c:pt>
                <c:pt idx="9">
                  <c:v>7.9852277150642276E-3</c:v>
                </c:pt>
                <c:pt idx="10">
                  <c:v>7.9852277150642276E-3</c:v>
                </c:pt>
                <c:pt idx="11">
                  <c:v>7.9852277150642276E-3</c:v>
                </c:pt>
                <c:pt idx="12">
                  <c:v>7.9852277150642276E-3</c:v>
                </c:pt>
                <c:pt idx="13">
                  <c:v>7.9852277150642276E-3</c:v>
                </c:pt>
                <c:pt idx="14">
                  <c:v>7.9852277150642276E-3</c:v>
                </c:pt>
                <c:pt idx="15">
                  <c:v>7.9852277150642276E-3</c:v>
                </c:pt>
                <c:pt idx="16">
                  <c:v>7.9852277150642276E-3</c:v>
                </c:pt>
                <c:pt idx="17">
                  <c:v>7.9852277150642276E-3</c:v>
                </c:pt>
                <c:pt idx="18">
                  <c:v>7.9852277150642276E-3</c:v>
                </c:pt>
                <c:pt idx="19">
                  <c:v>7.9852277150642276E-3</c:v>
                </c:pt>
                <c:pt idx="20">
                  <c:v>7.9852277150642276E-3</c:v>
                </c:pt>
                <c:pt idx="21">
                  <c:v>7.9852277150642276E-3</c:v>
                </c:pt>
                <c:pt idx="22">
                  <c:v>7.9852277150642276E-3</c:v>
                </c:pt>
                <c:pt idx="23">
                  <c:v>7.9852277150642276E-3</c:v>
                </c:pt>
                <c:pt idx="24">
                  <c:v>7.9852277150642276E-3</c:v>
                </c:pt>
                <c:pt idx="25">
                  <c:v>7.9852277150642276E-3</c:v>
                </c:pt>
                <c:pt idx="26">
                  <c:v>7.9852277150642276E-3</c:v>
                </c:pt>
                <c:pt idx="27">
                  <c:v>7.9852277150642276E-3</c:v>
                </c:pt>
                <c:pt idx="28">
                  <c:v>7.9852277150642276E-3</c:v>
                </c:pt>
                <c:pt idx="29">
                  <c:v>7.9852277150642276E-3</c:v>
                </c:pt>
                <c:pt idx="30">
                  <c:v>7.9852277150642276E-3</c:v>
                </c:pt>
                <c:pt idx="31">
                  <c:v>7.9852277150642276E-3</c:v>
                </c:pt>
                <c:pt idx="32">
                  <c:v>7.9852277150642276E-3</c:v>
                </c:pt>
                <c:pt idx="33">
                  <c:v>7.9852277150642276E-3</c:v>
                </c:pt>
                <c:pt idx="34">
                  <c:v>7.9852277150642276E-3</c:v>
                </c:pt>
                <c:pt idx="35">
                  <c:v>7.9852277150642276E-3</c:v>
                </c:pt>
                <c:pt idx="36">
                  <c:v>7.9852277150642276E-3</c:v>
                </c:pt>
                <c:pt idx="37">
                  <c:v>7.9852277150642276E-3</c:v>
                </c:pt>
                <c:pt idx="38">
                  <c:v>7.9852277150642276E-3</c:v>
                </c:pt>
                <c:pt idx="39">
                  <c:v>7.9852277150642276E-3</c:v>
                </c:pt>
                <c:pt idx="40">
                  <c:v>7.9852277150642276E-3</c:v>
                </c:pt>
                <c:pt idx="41">
                  <c:v>7.9852277150642276E-3</c:v>
                </c:pt>
                <c:pt idx="42">
                  <c:v>7.9852277150642276E-3</c:v>
                </c:pt>
                <c:pt idx="43">
                  <c:v>7.9852277150642276E-3</c:v>
                </c:pt>
                <c:pt idx="44">
                  <c:v>7.9852277150642276E-3</c:v>
                </c:pt>
                <c:pt idx="45">
                  <c:v>7.9852277150642276E-3</c:v>
                </c:pt>
                <c:pt idx="46">
                  <c:v>7.9852277150642276E-3</c:v>
                </c:pt>
                <c:pt idx="47">
                  <c:v>7.9852277150642276E-3</c:v>
                </c:pt>
                <c:pt idx="48">
                  <c:v>7.9852277150642276E-3</c:v>
                </c:pt>
                <c:pt idx="49">
                  <c:v>7.9852277150642276E-3</c:v>
                </c:pt>
                <c:pt idx="50">
                  <c:v>7.9852277150642276E-3</c:v>
                </c:pt>
                <c:pt idx="51">
                  <c:v>7.9852277150642276E-3</c:v>
                </c:pt>
                <c:pt idx="52">
                  <c:v>7.9852277150642276E-3</c:v>
                </c:pt>
                <c:pt idx="53">
                  <c:v>7.9852277150642276E-3</c:v>
                </c:pt>
                <c:pt idx="54">
                  <c:v>7.9852277150642276E-3</c:v>
                </c:pt>
                <c:pt idx="55">
                  <c:v>7.9852277150642276E-3</c:v>
                </c:pt>
                <c:pt idx="56">
                  <c:v>7.9852277150642276E-3</c:v>
                </c:pt>
                <c:pt idx="57">
                  <c:v>7.9852277150642276E-3</c:v>
                </c:pt>
                <c:pt idx="58">
                  <c:v>7.9852277150642276E-3</c:v>
                </c:pt>
                <c:pt idx="59">
                  <c:v>7.9852277150642276E-3</c:v>
                </c:pt>
                <c:pt idx="60">
                  <c:v>7.9852277150642276E-3</c:v>
                </c:pt>
                <c:pt idx="61">
                  <c:v>7.9852277150642276E-3</c:v>
                </c:pt>
                <c:pt idx="62">
                  <c:v>7.9852277150642276E-3</c:v>
                </c:pt>
                <c:pt idx="63">
                  <c:v>7.9852277150642276E-3</c:v>
                </c:pt>
                <c:pt idx="64">
                  <c:v>7.9852277150642276E-3</c:v>
                </c:pt>
                <c:pt idx="65">
                  <c:v>7.9852277150642276E-3</c:v>
                </c:pt>
                <c:pt idx="66">
                  <c:v>7.9852277150642276E-3</c:v>
                </c:pt>
                <c:pt idx="67">
                  <c:v>7.9852277150642276E-3</c:v>
                </c:pt>
                <c:pt idx="68">
                  <c:v>7.9852277150642276E-3</c:v>
                </c:pt>
                <c:pt idx="69">
                  <c:v>7.9852277150642276E-3</c:v>
                </c:pt>
                <c:pt idx="70">
                  <c:v>7.9852277150642276E-3</c:v>
                </c:pt>
                <c:pt idx="71">
                  <c:v>7.9852277150642276E-3</c:v>
                </c:pt>
                <c:pt idx="72">
                  <c:v>7.9852277150642276E-3</c:v>
                </c:pt>
                <c:pt idx="73">
                  <c:v>7.9852277150642276E-3</c:v>
                </c:pt>
                <c:pt idx="74">
                  <c:v>7.9852277150642276E-3</c:v>
                </c:pt>
                <c:pt idx="75">
                  <c:v>7.9852277150642276E-3</c:v>
                </c:pt>
                <c:pt idx="76">
                  <c:v>7.9852277150642276E-3</c:v>
                </c:pt>
                <c:pt idx="77">
                  <c:v>7.9852277150642276E-3</c:v>
                </c:pt>
                <c:pt idx="78">
                  <c:v>7.9852277150642276E-3</c:v>
                </c:pt>
                <c:pt idx="79">
                  <c:v>7.9852277150642276E-3</c:v>
                </c:pt>
                <c:pt idx="80">
                  <c:v>7.9852277150642276E-3</c:v>
                </c:pt>
                <c:pt idx="81">
                  <c:v>7.9852277150642276E-3</c:v>
                </c:pt>
                <c:pt idx="82">
                  <c:v>7.9852277150642276E-3</c:v>
                </c:pt>
                <c:pt idx="83">
                  <c:v>7.9852277150642276E-3</c:v>
                </c:pt>
                <c:pt idx="84">
                  <c:v>7.9852277150642276E-3</c:v>
                </c:pt>
                <c:pt idx="85">
                  <c:v>7.9852277150642276E-3</c:v>
                </c:pt>
                <c:pt idx="86">
                  <c:v>7.9852277150642276E-3</c:v>
                </c:pt>
                <c:pt idx="87">
                  <c:v>7.9852277150642276E-3</c:v>
                </c:pt>
                <c:pt idx="88">
                  <c:v>7.9852277150642276E-3</c:v>
                </c:pt>
                <c:pt idx="89">
                  <c:v>7.9852277150642276E-3</c:v>
                </c:pt>
                <c:pt idx="90">
                  <c:v>7.9852277150642276E-3</c:v>
                </c:pt>
                <c:pt idx="91">
                  <c:v>7.9852277150642276E-3</c:v>
                </c:pt>
                <c:pt idx="92">
                  <c:v>7.9852277150642276E-3</c:v>
                </c:pt>
                <c:pt idx="93">
                  <c:v>7.9852277150642276E-3</c:v>
                </c:pt>
                <c:pt idx="94">
                  <c:v>7.9852277150642276E-3</c:v>
                </c:pt>
                <c:pt idx="95">
                  <c:v>7.9852277150642276E-3</c:v>
                </c:pt>
                <c:pt idx="96">
                  <c:v>7.9852277150642276E-3</c:v>
                </c:pt>
                <c:pt idx="97">
                  <c:v>7.9852277150642276E-3</c:v>
                </c:pt>
                <c:pt idx="98">
                  <c:v>7.9852277150642276E-3</c:v>
                </c:pt>
                <c:pt idx="99">
                  <c:v>7.9852277150642276E-3</c:v>
                </c:pt>
              </c:numCache>
            </c:numRef>
          </c:val>
          <c:smooth val="0"/>
          <c:extLst xmlns:c16r2="http://schemas.microsoft.com/office/drawing/2015/06/chart">
            <c:ext xmlns:c16="http://schemas.microsoft.com/office/drawing/2014/chart" uri="{C3380CC4-5D6E-409C-BE32-E72D297353CC}">
              <c16:uniqueId val="{00000003-C400-472C-B2B2-D5A824355E7C}"/>
            </c:ext>
          </c:extLst>
        </c:ser>
        <c:dLbls>
          <c:showLegendKey val="0"/>
          <c:showVal val="0"/>
          <c:showCatName val="0"/>
          <c:showSerName val="0"/>
          <c:showPercent val="0"/>
          <c:showBubbleSize val="0"/>
        </c:dLbls>
        <c:marker val="1"/>
        <c:smooth val="0"/>
        <c:axId val="337920304"/>
        <c:axId val="337920864"/>
      </c:lineChart>
      <c:catAx>
        <c:axId val="33792030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37920864"/>
        <c:crosses val="autoZero"/>
        <c:auto val="1"/>
        <c:lblAlgn val="ctr"/>
        <c:lblOffset val="500"/>
        <c:tickLblSkip val="5"/>
        <c:noMultiLvlLbl val="0"/>
      </c:catAx>
      <c:valAx>
        <c:axId val="3379208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3792030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CFFB-4108-B91F-E9D42A5C69F5}"/>
            </c:ext>
          </c:extLst>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99.075038659282839</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FFB-4108-B91F-E9D42A5C69F5}"/>
            </c:ext>
          </c:extLst>
        </c:ser>
        <c:dLbls>
          <c:showLegendKey val="0"/>
          <c:showVal val="0"/>
          <c:showCatName val="0"/>
          <c:showSerName val="0"/>
          <c:showPercent val="0"/>
          <c:showBubbleSize val="0"/>
        </c:dLbls>
        <c:gapWidth val="0"/>
        <c:overlap val="100"/>
        <c:axId val="198003632"/>
        <c:axId val="1980041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137.15287254901961</c:v>
                </c:pt>
                <c:pt idx="1">
                  <c:v>137.15287254901961</c:v>
                </c:pt>
                <c:pt idx="2">
                  <c:v>137.15287254901961</c:v>
                </c:pt>
                <c:pt idx="3">
                  <c:v>137.15287254901961</c:v>
                </c:pt>
                <c:pt idx="4">
                  <c:v>137.15287254901961</c:v>
                </c:pt>
                <c:pt idx="5">
                  <c:v>137.15287254901961</c:v>
                </c:pt>
                <c:pt idx="6">
                  <c:v>137.15287254901961</c:v>
                </c:pt>
                <c:pt idx="7">
                  <c:v>137.15287254901961</c:v>
                </c:pt>
                <c:pt idx="8">
                  <c:v>137.15287254901961</c:v>
                </c:pt>
                <c:pt idx="9">
                  <c:v>137.15287254901961</c:v>
                </c:pt>
                <c:pt idx="10">
                  <c:v>137.15287254901961</c:v>
                </c:pt>
                <c:pt idx="11">
                  <c:v>137.15287254901961</c:v>
                </c:pt>
                <c:pt idx="12">
                  <c:v>137.15287254901961</c:v>
                </c:pt>
                <c:pt idx="13">
                  <c:v>137.15287254901961</c:v>
                </c:pt>
                <c:pt idx="14">
                  <c:v>137.15287254901961</c:v>
                </c:pt>
                <c:pt idx="15">
                  <c:v>137.15287254901961</c:v>
                </c:pt>
                <c:pt idx="16">
                  <c:v>137.15287254901961</c:v>
                </c:pt>
                <c:pt idx="17">
                  <c:v>137.15287254901961</c:v>
                </c:pt>
                <c:pt idx="18">
                  <c:v>137.15287254901961</c:v>
                </c:pt>
                <c:pt idx="19">
                  <c:v>137.15287254901961</c:v>
                </c:pt>
                <c:pt idx="20">
                  <c:v>137.15287254901961</c:v>
                </c:pt>
                <c:pt idx="21">
                  <c:v>137.15287254901961</c:v>
                </c:pt>
                <c:pt idx="22">
                  <c:v>137.15287254901961</c:v>
                </c:pt>
                <c:pt idx="23">
                  <c:v>137.15287254901961</c:v>
                </c:pt>
                <c:pt idx="24">
                  <c:v>137.15287254901961</c:v>
                </c:pt>
                <c:pt idx="25">
                  <c:v>137.15287254901961</c:v>
                </c:pt>
                <c:pt idx="26">
                  <c:v>137.15287254901961</c:v>
                </c:pt>
                <c:pt idx="27">
                  <c:v>137.15287254901961</c:v>
                </c:pt>
                <c:pt idx="28">
                  <c:v>137.15287254901961</c:v>
                </c:pt>
                <c:pt idx="29">
                  <c:v>137.15287254901961</c:v>
                </c:pt>
                <c:pt idx="30">
                  <c:v>137.15287254901961</c:v>
                </c:pt>
                <c:pt idx="31">
                  <c:v>137.15287254901961</c:v>
                </c:pt>
                <c:pt idx="32">
                  <c:v>137.15287254901961</c:v>
                </c:pt>
                <c:pt idx="33">
                  <c:v>137.15287254901961</c:v>
                </c:pt>
                <c:pt idx="34">
                  <c:v>137.15287254901961</c:v>
                </c:pt>
                <c:pt idx="35">
                  <c:v>137.15287254901961</c:v>
                </c:pt>
                <c:pt idx="36">
                  <c:v>137.15287254901961</c:v>
                </c:pt>
                <c:pt idx="37">
                  <c:v>137.15287254901961</c:v>
                </c:pt>
                <c:pt idx="38">
                  <c:v>137.15287254901961</c:v>
                </c:pt>
                <c:pt idx="39">
                  <c:v>137.15287254901961</c:v>
                </c:pt>
                <c:pt idx="40">
                  <c:v>137.15287254901961</c:v>
                </c:pt>
                <c:pt idx="41">
                  <c:v>137.15287254901961</c:v>
                </c:pt>
                <c:pt idx="42">
                  <c:v>137.15287254901961</c:v>
                </c:pt>
                <c:pt idx="43">
                  <c:v>137.15287254901961</c:v>
                </c:pt>
                <c:pt idx="44">
                  <c:v>137.15287254901961</c:v>
                </c:pt>
                <c:pt idx="45">
                  <c:v>137.15287254901961</c:v>
                </c:pt>
                <c:pt idx="46">
                  <c:v>137.15287254901961</c:v>
                </c:pt>
                <c:pt idx="47">
                  <c:v>137.15287254901961</c:v>
                </c:pt>
                <c:pt idx="48">
                  <c:v>137.15287254901961</c:v>
                </c:pt>
                <c:pt idx="49">
                  <c:v>137.15287254901961</c:v>
                </c:pt>
                <c:pt idx="50">
                  <c:v>137.15287254901961</c:v>
                </c:pt>
                <c:pt idx="51">
                  <c:v>137.15287254901961</c:v>
                </c:pt>
                <c:pt idx="52">
                  <c:v>137.15287254901961</c:v>
                </c:pt>
                <c:pt idx="53">
                  <c:v>137.15287254901961</c:v>
                </c:pt>
                <c:pt idx="54">
                  <c:v>137.15287254901961</c:v>
                </c:pt>
                <c:pt idx="55">
                  <c:v>137.15287254901961</c:v>
                </c:pt>
                <c:pt idx="56">
                  <c:v>137.15287254901961</c:v>
                </c:pt>
                <c:pt idx="57">
                  <c:v>137.15287254901961</c:v>
                </c:pt>
                <c:pt idx="58">
                  <c:v>137.15287254901961</c:v>
                </c:pt>
                <c:pt idx="59">
                  <c:v>137.15287254901961</c:v>
                </c:pt>
                <c:pt idx="60">
                  <c:v>137.15287254901961</c:v>
                </c:pt>
                <c:pt idx="61">
                  <c:v>137.15287254901961</c:v>
                </c:pt>
                <c:pt idx="62">
                  <c:v>137.15287254901961</c:v>
                </c:pt>
                <c:pt idx="63">
                  <c:v>137.15287254901961</c:v>
                </c:pt>
                <c:pt idx="64">
                  <c:v>137.15287254901961</c:v>
                </c:pt>
                <c:pt idx="65">
                  <c:v>137.15287254901961</c:v>
                </c:pt>
                <c:pt idx="66">
                  <c:v>137.15287254901961</c:v>
                </c:pt>
                <c:pt idx="67">
                  <c:v>137.15287254901961</c:v>
                </c:pt>
                <c:pt idx="68">
                  <c:v>137.15287254901961</c:v>
                </c:pt>
                <c:pt idx="69">
                  <c:v>137.15287254901961</c:v>
                </c:pt>
                <c:pt idx="70">
                  <c:v>137.15287254901961</c:v>
                </c:pt>
                <c:pt idx="71">
                  <c:v>137.15287254901961</c:v>
                </c:pt>
                <c:pt idx="72">
                  <c:v>137.15287254901961</c:v>
                </c:pt>
                <c:pt idx="73">
                  <c:v>137.15287254901961</c:v>
                </c:pt>
                <c:pt idx="74">
                  <c:v>137.15287254901961</c:v>
                </c:pt>
                <c:pt idx="75">
                  <c:v>137.15287254901961</c:v>
                </c:pt>
                <c:pt idx="76">
                  <c:v>137.15287254901961</c:v>
                </c:pt>
                <c:pt idx="77">
                  <c:v>137.15287254901961</c:v>
                </c:pt>
                <c:pt idx="78">
                  <c:v>137.15287254901961</c:v>
                </c:pt>
                <c:pt idx="79">
                  <c:v>137.15287254901961</c:v>
                </c:pt>
                <c:pt idx="80">
                  <c:v>137.15287254901961</c:v>
                </c:pt>
                <c:pt idx="81">
                  <c:v>137.15287254901961</c:v>
                </c:pt>
                <c:pt idx="82">
                  <c:v>137.15287254901961</c:v>
                </c:pt>
                <c:pt idx="83">
                  <c:v>137.15287254901961</c:v>
                </c:pt>
                <c:pt idx="84">
                  <c:v>137.15287254901961</c:v>
                </c:pt>
                <c:pt idx="85">
                  <c:v>137.15287254901961</c:v>
                </c:pt>
                <c:pt idx="86">
                  <c:v>137.15287254901961</c:v>
                </c:pt>
                <c:pt idx="87">
                  <c:v>137.15287254901961</c:v>
                </c:pt>
                <c:pt idx="88">
                  <c:v>137.15287254901961</c:v>
                </c:pt>
                <c:pt idx="89">
                  <c:v>137.15287254901961</c:v>
                </c:pt>
                <c:pt idx="90">
                  <c:v>137.15287254901961</c:v>
                </c:pt>
                <c:pt idx="91">
                  <c:v>137.15287254901961</c:v>
                </c:pt>
                <c:pt idx="92">
                  <c:v>137.15287254901961</c:v>
                </c:pt>
                <c:pt idx="93">
                  <c:v>137.15287254901961</c:v>
                </c:pt>
                <c:pt idx="94">
                  <c:v>137.15287254901961</c:v>
                </c:pt>
                <c:pt idx="95">
                  <c:v>137.15287254901961</c:v>
                </c:pt>
                <c:pt idx="96">
                  <c:v>137.15287254901961</c:v>
                </c:pt>
                <c:pt idx="97">
                  <c:v>137.15287254901961</c:v>
                </c:pt>
                <c:pt idx="98">
                  <c:v>137.15287254901961</c:v>
                </c:pt>
                <c:pt idx="99">
                  <c:v>137.15287254901961</c:v>
                </c:pt>
              </c:numCache>
            </c:numRef>
          </c:val>
          <c:smooth val="0"/>
          <c:extLst xmlns:c16r2="http://schemas.microsoft.com/office/drawing/2015/06/chart">
            <c:ext xmlns:c16="http://schemas.microsoft.com/office/drawing/2014/chart" uri="{C3380CC4-5D6E-409C-BE32-E72D297353CC}">
              <c16:uniqueId val="{00000002-CFFB-4108-B91F-E9D42A5C69F5}"/>
            </c:ext>
          </c:extLst>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54.861149019607844</c:v>
                </c:pt>
                <c:pt idx="1">
                  <c:v>54.861149019607844</c:v>
                </c:pt>
                <c:pt idx="2">
                  <c:v>54.861149019607844</c:v>
                </c:pt>
                <c:pt idx="3">
                  <c:v>54.861149019607844</c:v>
                </c:pt>
                <c:pt idx="4">
                  <c:v>54.861149019607844</c:v>
                </c:pt>
                <c:pt idx="5">
                  <c:v>54.861149019607844</c:v>
                </c:pt>
                <c:pt idx="6">
                  <c:v>54.861149019607844</c:v>
                </c:pt>
                <c:pt idx="7">
                  <c:v>54.861149019607844</c:v>
                </c:pt>
                <c:pt idx="8">
                  <c:v>54.861149019607844</c:v>
                </c:pt>
                <c:pt idx="9">
                  <c:v>54.861149019607844</c:v>
                </c:pt>
                <c:pt idx="10">
                  <c:v>54.861149019607844</c:v>
                </c:pt>
                <c:pt idx="11">
                  <c:v>54.861149019607844</c:v>
                </c:pt>
                <c:pt idx="12">
                  <c:v>54.861149019607844</c:v>
                </c:pt>
                <c:pt idx="13">
                  <c:v>54.861149019607844</c:v>
                </c:pt>
                <c:pt idx="14">
                  <c:v>54.861149019607844</c:v>
                </c:pt>
                <c:pt idx="15">
                  <c:v>54.861149019607844</c:v>
                </c:pt>
                <c:pt idx="16">
                  <c:v>54.861149019607844</c:v>
                </c:pt>
                <c:pt idx="17">
                  <c:v>54.861149019607844</c:v>
                </c:pt>
                <c:pt idx="18">
                  <c:v>54.861149019607844</c:v>
                </c:pt>
                <c:pt idx="19">
                  <c:v>54.861149019607844</c:v>
                </c:pt>
                <c:pt idx="20">
                  <c:v>54.861149019607844</c:v>
                </c:pt>
                <c:pt idx="21">
                  <c:v>54.861149019607844</c:v>
                </c:pt>
                <c:pt idx="22">
                  <c:v>54.861149019607844</c:v>
                </c:pt>
                <c:pt idx="23">
                  <c:v>54.861149019607844</c:v>
                </c:pt>
                <c:pt idx="24">
                  <c:v>54.861149019607844</c:v>
                </c:pt>
                <c:pt idx="25">
                  <c:v>54.861149019607844</c:v>
                </c:pt>
                <c:pt idx="26">
                  <c:v>54.861149019607844</c:v>
                </c:pt>
                <c:pt idx="27">
                  <c:v>54.861149019607844</c:v>
                </c:pt>
                <c:pt idx="28">
                  <c:v>54.861149019607844</c:v>
                </c:pt>
                <c:pt idx="29">
                  <c:v>54.861149019607844</c:v>
                </c:pt>
                <c:pt idx="30">
                  <c:v>54.861149019607844</c:v>
                </c:pt>
                <c:pt idx="31">
                  <c:v>54.861149019607844</c:v>
                </c:pt>
                <c:pt idx="32">
                  <c:v>54.861149019607844</c:v>
                </c:pt>
                <c:pt idx="33">
                  <c:v>54.861149019607844</c:v>
                </c:pt>
                <c:pt idx="34">
                  <c:v>54.861149019607844</c:v>
                </c:pt>
                <c:pt idx="35">
                  <c:v>54.861149019607844</c:v>
                </c:pt>
                <c:pt idx="36">
                  <c:v>54.861149019607844</c:v>
                </c:pt>
                <c:pt idx="37">
                  <c:v>54.861149019607844</c:v>
                </c:pt>
                <c:pt idx="38">
                  <c:v>54.861149019607844</c:v>
                </c:pt>
                <c:pt idx="39">
                  <c:v>54.861149019607844</c:v>
                </c:pt>
                <c:pt idx="40">
                  <c:v>54.861149019607844</c:v>
                </c:pt>
                <c:pt idx="41">
                  <c:v>54.861149019607844</c:v>
                </c:pt>
                <c:pt idx="42">
                  <c:v>54.861149019607844</c:v>
                </c:pt>
                <c:pt idx="43">
                  <c:v>54.861149019607844</c:v>
                </c:pt>
                <c:pt idx="44">
                  <c:v>54.861149019607844</c:v>
                </c:pt>
                <c:pt idx="45">
                  <c:v>54.861149019607844</c:v>
                </c:pt>
                <c:pt idx="46">
                  <c:v>54.861149019607844</c:v>
                </c:pt>
                <c:pt idx="47">
                  <c:v>54.861149019607844</c:v>
                </c:pt>
                <c:pt idx="48">
                  <c:v>54.861149019607844</c:v>
                </c:pt>
                <c:pt idx="49">
                  <c:v>54.861149019607844</c:v>
                </c:pt>
                <c:pt idx="50">
                  <c:v>54.861149019607844</c:v>
                </c:pt>
                <c:pt idx="51">
                  <c:v>54.861149019607844</c:v>
                </c:pt>
                <c:pt idx="52">
                  <c:v>54.861149019607844</c:v>
                </c:pt>
                <c:pt idx="53">
                  <c:v>54.861149019607844</c:v>
                </c:pt>
                <c:pt idx="54">
                  <c:v>54.861149019607844</c:v>
                </c:pt>
                <c:pt idx="55">
                  <c:v>54.861149019607844</c:v>
                </c:pt>
                <c:pt idx="56">
                  <c:v>54.861149019607844</c:v>
                </c:pt>
                <c:pt idx="57">
                  <c:v>54.861149019607844</c:v>
                </c:pt>
                <c:pt idx="58">
                  <c:v>54.861149019607844</c:v>
                </c:pt>
                <c:pt idx="59">
                  <c:v>54.861149019607844</c:v>
                </c:pt>
                <c:pt idx="60">
                  <c:v>54.861149019607844</c:v>
                </c:pt>
                <c:pt idx="61">
                  <c:v>54.861149019607844</c:v>
                </c:pt>
                <c:pt idx="62">
                  <c:v>54.861149019607844</c:v>
                </c:pt>
                <c:pt idx="63">
                  <c:v>54.861149019607844</c:v>
                </c:pt>
                <c:pt idx="64">
                  <c:v>54.861149019607844</c:v>
                </c:pt>
                <c:pt idx="65">
                  <c:v>54.861149019607844</c:v>
                </c:pt>
                <c:pt idx="66">
                  <c:v>54.861149019607844</c:v>
                </c:pt>
                <c:pt idx="67">
                  <c:v>54.861149019607844</c:v>
                </c:pt>
                <c:pt idx="68">
                  <c:v>54.861149019607844</c:v>
                </c:pt>
                <c:pt idx="69">
                  <c:v>54.861149019607844</c:v>
                </c:pt>
                <c:pt idx="70">
                  <c:v>54.861149019607844</c:v>
                </c:pt>
                <c:pt idx="71">
                  <c:v>54.861149019607844</c:v>
                </c:pt>
                <c:pt idx="72">
                  <c:v>54.861149019607844</c:v>
                </c:pt>
                <c:pt idx="73">
                  <c:v>54.861149019607844</c:v>
                </c:pt>
                <c:pt idx="74">
                  <c:v>54.861149019607844</c:v>
                </c:pt>
                <c:pt idx="75">
                  <c:v>54.861149019607844</c:v>
                </c:pt>
                <c:pt idx="76">
                  <c:v>54.861149019607844</c:v>
                </c:pt>
                <c:pt idx="77">
                  <c:v>54.861149019607844</c:v>
                </c:pt>
                <c:pt idx="78">
                  <c:v>54.861149019607844</c:v>
                </c:pt>
                <c:pt idx="79">
                  <c:v>54.861149019607844</c:v>
                </c:pt>
                <c:pt idx="80">
                  <c:v>54.861149019607844</c:v>
                </c:pt>
                <c:pt idx="81">
                  <c:v>54.861149019607844</c:v>
                </c:pt>
                <c:pt idx="82">
                  <c:v>54.861149019607844</c:v>
                </c:pt>
                <c:pt idx="83">
                  <c:v>54.861149019607844</c:v>
                </c:pt>
                <c:pt idx="84">
                  <c:v>54.861149019607844</c:v>
                </c:pt>
                <c:pt idx="85">
                  <c:v>54.861149019607844</c:v>
                </c:pt>
                <c:pt idx="86">
                  <c:v>54.861149019607844</c:v>
                </c:pt>
                <c:pt idx="87">
                  <c:v>54.861149019607844</c:v>
                </c:pt>
                <c:pt idx="88">
                  <c:v>54.861149019607844</c:v>
                </c:pt>
                <c:pt idx="89">
                  <c:v>54.861149019607844</c:v>
                </c:pt>
                <c:pt idx="90">
                  <c:v>54.861149019607844</c:v>
                </c:pt>
                <c:pt idx="91">
                  <c:v>54.861149019607844</c:v>
                </c:pt>
                <c:pt idx="92">
                  <c:v>54.861149019607844</c:v>
                </c:pt>
                <c:pt idx="93">
                  <c:v>54.861149019607844</c:v>
                </c:pt>
                <c:pt idx="94">
                  <c:v>54.861149019607844</c:v>
                </c:pt>
                <c:pt idx="95">
                  <c:v>54.861149019607844</c:v>
                </c:pt>
                <c:pt idx="96">
                  <c:v>54.861149019607844</c:v>
                </c:pt>
                <c:pt idx="97">
                  <c:v>54.861149019607844</c:v>
                </c:pt>
                <c:pt idx="98">
                  <c:v>54.861149019607844</c:v>
                </c:pt>
                <c:pt idx="99">
                  <c:v>54.861149019607844</c:v>
                </c:pt>
              </c:numCache>
            </c:numRef>
          </c:val>
          <c:smooth val="0"/>
          <c:extLst xmlns:c16r2="http://schemas.microsoft.com/office/drawing/2015/06/chart">
            <c:ext xmlns:c16="http://schemas.microsoft.com/office/drawing/2014/chart" uri="{C3380CC4-5D6E-409C-BE32-E72D297353CC}">
              <c16:uniqueId val="{00000003-CFFB-4108-B91F-E9D42A5C69F5}"/>
            </c:ext>
          </c:extLst>
        </c:ser>
        <c:dLbls>
          <c:showLegendKey val="0"/>
          <c:showVal val="0"/>
          <c:showCatName val="0"/>
          <c:showSerName val="0"/>
          <c:showPercent val="0"/>
          <c:showBubbleSize val="0"/>
        </c:dLbls>
        <c:marker val="1"/>
        <c:smooth val="0"/>
        <c:axId val="198003632"/>
        <c:axId val="198004192"/>
      </c:lineChart>
      <c:catAx>
        <c:axId val="19800363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8004192"/>
        <c:crosses val="autoZero"/>
        <c:auto val="1"/>
        <c:lblAlgn val="ctr"/>
        <c:lblOffset val="500"/>
        <c:tickLblSkip val="5"/>
        <c:noMultiLvlLbl val="0"/>
      </c:catAx>
      <c:valAx>
        <c:axId val="1980041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8003632"/>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83.18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142-46E9-97D7-3B57039E6C4E}"/>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114.008</c:v>
                </c:pt>
                <c:pt idx="2">
                  <c:v>119.146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0142-46E9-97D7-3B57039E6C4E}"/>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132.084</c:v>
                </c:pt>
                <c:pt idx="4">
                  <c:v>137.22200000000001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0142-46E9-97D7-3B57039E6C4E}"/>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152.39800000000002</c:v>
                </c:pt>
                <c:pt idx="6">
                  <c:v>157.536</c:v>
                </c:pt>
                <c:pt idx="7">
                  <c:v>157.536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0142-46E9-97D7-3B57039E6C4E}"/>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180.68799999999999</c:v>
                </c:pt>
                <c:pt idx="9">
                  <c:v>180.68799999999999</c:v>
                </c:pt>
                <c:pt idx="10">
                  <c:v>194.56400000000002</c:v>
                </c:pt>
                <c:pt idx="11">
                  <c:v>194.56400000000002</c:v>
                </c:pt>
                <c:pt idx="12">
                  <c:v>202.80200000000002</c:v>
                </c:pt>
                <c:pt idx="13">
                  <c:v>202.80200000000002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0142-46E9-97D7-3B57039E6C4E}"/>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214.87799999999999</c:v>
                </c:pt>
                <c:pt idx="15">
                  <c:v>214.87799999999999</c:v>
                </c:pt>
                <c:pt idx="16">
                  <c:v>221.816</c:v>
                </c:pt>
                <c:pt idx="17">
                  <c:v>221.816</c:v>
                </c:pt>
                <c:pt idx="18">
                  <c:v>228.95400000000001</c:v>
                </c:pt>
                <c:pt idx="19">
                  <c:v>228.95400000000001</c:v>
                </c:pt>
                <c:pt idx="20">
                  <c:v>236.392</c:v>
                </c:pt>
                <c:pt idx="21">
                  <c:v>236.392</c:v>
                </c:pt>
                <c:pt idx="22">
                  <c:v>238.892</c:v>
                </c:pt>
                <c:pt idx="23">
                  <c:v>238.892</c:v>
                </c:pt>
                <c:pt idx="24">
                  <c:v>245.63</c:v>
                </c:pt>
                <c:pt idx="25">
                  <c:v>245.63</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0142-46E9-97D7-3B57039E6C4E}"/>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252.46799999999999</c:v>
                </c:pt>
                <c:pt idx="27">
                  <c:v>252.46799999999999</c:v>
                </c:pt>
                <c:pt idx="28">
                  <c:v>258.90600000000001</c:v>
                </c:pt>
                <c:pt idx="29">
                  <c:v>258.90600000000001</c:v>
                </c:pt>
                <c:pt idx="30">
                  <c:v>260.30599999999998</c:v>
                </c:pt>
                <c:pt idx="31">
                  <c:v>260.30599999999998</c:v>
                </c:pt>
                <c:pt idx="32">
                  <c:v>267.44400000000002</c:v>
                </c:pt>
                <c:pt idx="33">
                  <c:v>267.44400000000002</c:v>
                </c:pt>
                <c:pt idx="34">
                  <c:v>273.88200000000001</c:v>
                </c:pt>
                <c:pt idx="35">
                  <c:v>273.88200000000001</c:v>
                </c:pt>
                <c:pt idx="36">
                  <c:v>275.88200000000001</c:v>
                </c:pt>
                <c:pt idx="37">
                  <c:v>275.88200000000001</c:v>
                </c:pt>
                <c:pt idx="38">
                  <c:v>282.72000000000003</c:v>
                </c:pt>
                <c:pt idx="39">
                  <c:v>282.72000000000003</c:v>
                </c:pt>
                <c:pt idx="40">
                  <c:v>289.55799999999999</c:v>
                </c:pt>
                <c:pt idx="41">
                  <c:v>289.55799999999999</c:v>
                </c:pt>
                <c:pt idx="42">
                  <c:v>290.95800000000003</c:v>
                </c:pt>
                <c:pt idx="43">
                  <c:v>290.95800000000003</c:v>
                </c:pt>
                <c:pt idx="44">
                  <c:v>297.19600000000003</c:v>
                </c:pt>
                <c:pt idx="45">
                  <c:v>297.19600000000003</c:v>
                </c:pt>
                <c:pt idx="46">
                  <c:v>303.73399999999998</c:v>
                </c:pt>
                <c:pt idx="47">
                  <c:v>303.73399999999998</c:v>
                </c:pt>
                <c:pt idx="48">
                  <c:v>305.23399999999998</c:v>
                </c:pt>
                <c:pt idx="49">
                  <c:v>305.23399999999998</c:v>
                </c:pt>
                <c:pt idx="50">
                  <c:v>311.27199999999999</c:v>
                </c:pt>
                <c:pt idx="51">
                  <c:v>311.27199999999999</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0142-46E9-97D7-3B57039E6C4E}"/>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317.61</c:v>
                </c:pt>
                <c:pt idx="53">
                  <c:v>317.61</c:v>
                </c:pt>
                <c:pt idx="54">
                  <c:v>319.70999999999998</c:v>
                </c:pt>
                <c:pt idx="55">
                  <c:v>319.70999999999998</c:v>
                </c:pt>
                <c:pt idx="56">
                  <c:v>326.94799999999998</c:v>
                </c:pt>
                <c:pt idx="57">
                  <c:v>326.94799999999998</c:v>
                </c:pt>
                <c:pt idx="58">
                  <c:v>334.48599999999999</c:v>
                </c:pt>
                <c:pt idx="59">
                  <c:v>334.48599999999999</c:v>
                </c:pt>
                <c:pt idx="60">
                  <c:v>336.38599999999997</c:v>
                </c:pt>
                <c:pt idx="61">
                  <c:v>336.38599999999997</c:v>
                </c:pt>
                <c:pt idx="62">
                  <c:v>343.024</c:v>
                </c:pt>
                <c:pt idx="63">
                  <c:v>343.024</c:v>
                </c:pt>
                <c:pt idx="64">
                  <c:v>349.66200000000003</c:v>
                </c:pt>
                <c:pt idx="65">
                  <c:v>349.66200000000003</c:v>
                </c:pt>
                <c:pt idx="66">
                  <c:v>351.36199999999997</c:v>
                </c:pt>
                <c:pt idx="67">
                  <c:v>351.36199999999997</c:v>
                </c:pt>
                <c:pt idx="68">
                  <c:v>358.20000000000005</c:v>
                </c:pt>
                <c:pt idx="69">
                  <c:v>358.20000000000005</c:v>
                </c:pt>
                <c:pt idx="70">
                  <c:v>364.738</c:v>
                </c:pt>
                <c:pt idx="71">
                  <c:v>364.738</c:v>
                </c:pt>
                <c:pt idx="72">
                  <c:v>371.17599999999999</c:v>
                </c:pt>
                <c:pt idx="73">
                  <c:v>371.17599999999999</c:v>
                </c:pt>
                <c:pt idx="74">
                  <c:v>372.87599999999998</c:v>
                </c:pt>
                <c:pt idx="75">
                  <c:v>372.87599999999998</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0142-46E9-97D7-3B57039E6C4E}"/>
            </c:ext>
          </c:extLst>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379.71399999999994</c:v>
                </c:pt>
                <c:pt idx="77">
                  <c:v>379.71399999999994</c:v>
                </c:pt>
                <c:pt idx="78">
                  <c:v>386.65199999999999</c:v>
                </c:pt>
                <c:pt idx="79">
                  <c:v>386.65199999999999</c:v>
                </c:pt>
                <c:pt idx="80">
                  <c:v>393.99</c:v>
                </c:pt>
                <c:pt idx="81">
                  <c:v>393.99</c:v>
                </c:pt>
                <c:pt idx="82">
                  <c:v>400.52800000000002</c:v>
                </c:pt>
                <c:pt idx="83">
                  <c:v>400.52800000000002</c:v>
                </c:pt>
                <c:pt idx="84">
                  <c:v>407.06599999999997</c:v>
                </c:pt>
                <c:pt idx="85">
                  <c:v>407.06599999999997</c:v>
                </c:pt>
                <c:pt idx="86">
                  <c:v>413.70400000000001</c:v>
                </c:pt>
                <c:pt idx="87">
                  <c:v>413.70400000000001</c:v>
                </c:pt>
                <c:pt idx="88">
                  <c:v>431.11799999999999</c:v>
                </c:pt>
                <c:pt idx="89">
                  <c:v>431.11799999999999</c:v>
                </c:pt>
                <c:pt idx="90">
                  <c:v>443.29399999999998</c:v>
                </c:pt>
                <c:pt idx="91">
                  <c:v>443.29399999999998</c:v>
                </c:pt>
                <c:pt idx="92">
                  <c:v>467.24600000000004</c:v>
                </c:pt>
                <c:pt idx="93">
                  <c:v>467.24600000000004</c:v>
                </c:pt>
                <c:pt idx="94">
                  <c:v>482.32200000000006</c:v>
                </c:pt>
                <c:pt idx="95">
                  <c:v>493.96000000000004</c:v>
                </c:pt>
                <c:pt idx="96">
                  <c:v>499.09799999999996</c:v>
                </c:pt>
                <c:pt idx="97">
                  <c:v>531.11199999999997</c:v>
                </c:pt>
                <c:pt idx="98">
                  <c:v>541.38800000000003</c:v>
                </c:pt>
                <c:pt idx="99">
                  <c:v>610.91600000000005</c:v>
                </c:pt>
              </c:numCache>
            </c:numRef>
          </c:val>
          <c:extLst xmlns:c16r2="http://schemas.microsoft.com/office/drawing/2015/06/chart">
            <c:ext xmlns:c16="http://schemas.microsoft.com/office/drawing/2014/chart" uri="{C3380CC4-5D6E-409C-BE32-E72D297353CC}">
              <c16:uniqueId val="{00000008-0142-46E9-97D7-3B57039E6C4E}"/>
            </c:ext>
          </c:extLst>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297.38177264376628</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0142-46E9-97D7-3B57039E6C4E}"/>
            </c:ext>
          </c:extLst>
        </c:ser>
        <c:dLbls>
          <c:showLegendKey val="0"/>
          <c:showVal val="0"/>
          <c:showCatName val="0"/>
          <c:showSerName val="0"/>
          <c:showPercent val="0"/>
          <c:showBubbleSize val="0"/>
        </c:dLbls>
        <c:gapWidth val="0"/>
        <c:overlap val="100"/>
        <c:axId val="338536592"/>
        <c:axId val="338537152"/>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249.72312254901959</c:v>
                </c:pt>
                <c:pt idx="1">
                  <c:v>249.72312254901959</c:v>
                </c:pt>
                <c:pt idx="2">
                  <c:v>249.72312254901959</c:v>
                </c:pt>
                <c:pt idx="3">
                  <c:v>249.72312254901959</c:v>
                </c:pt>
                <c:pt idx="4">
                  <c:v>249.72312254901959</c:v>
                </c:pt>
                <c:pt idx="5">
                  <c:v>249.72312254901959</c:v>
                </c:pt>
                <c:pt idx="6">
                  <c:v>249.72312254901959</c:v>
                </c:pt>
                <c:pt idx="7">
                  <c:v>249.72312254901959</c:v>
                </c:pt>
                <c:pt idx="8">
                  <c:v>249.72312254901959</c:v>
                </c:pt>
                <c:pt idx="9">
                  <c:v>249.72312254901959</c:v>
                </c:pt>
                <c:pt idx="10">
                  <c:v>249.72312254901959</c:v>
                </c:pt>
                <c:pt idx="11">
                  <c:v>249.72312254901959</c:v>
                </c:pt>
                <c:pt idx="12">
                  <c:v>249.72312254901959</c:v>
                </c:pt>
                <c:pt idx="13">
                  <c:v>249.72312254901959</c:v>
                </c:pt>
                <c:pt idx="14">
                  <c:v>249.72312254901959</c:v>
                </c:pt>
                <c:pt idx="15">
                  <c:v>249.72312254901959</c:v>
                </c:pt>
                <c:pt idx="16">
                  <c:v>249.72312254901959</c:v>
                </c:pt>
                <c:pt idx="17">
                  <c:v>249.72312254901959</c:v>
                </c:pt>
                <c:pt idx="18">
                  <c:v>249.72312254901959</c:v>
                </c:pt>
                <c:pt idx="19">
                  <c:v>249.72312254901959</c:v>
                </c:pt>
                <c:pt idx="20">
                  <c:v>249.72312254901959</c:v>
                </c:pt>
                <c:pt idx="21">
                  <c:v>249.72312254901959</c:v>
                </c:pt>
                <c:pt idx="22">
                  <c:v>249.72312254901959</c:v>
                </c:pt>
                <c:pt idx="23">
                  <c:v>249.72312254901959</c:v>
                </c:pt>
                <c:pt idx="24">
                  <c:v>249.72312254901959</c:v>
                </c:pt>
                <c:pt idx="25">
                  <c:v>249.72312254901959</c:v>
                </c:pt>
                <c:pt idx="26">
                  <c:v>249.72312254901959</c:v>
                </c:pt>
                <c:pt idx="27">
                  <c:v>249.72312254901959</c:v>
                </c:pt>
                <c:pt idx="28">
                  <c:v>249.72312254901959</c:v>
                </c:pt>
                <c:pt idx="29">
                  <c:v>249.72312254901959</c:v>
                </c:pt>
                <c:pt idx="30">
                  <c:v>249.72312254901959</c:v>
                </c:pt>
                <c:pt idx="31">
                  <c:v>249.72312254901959</c:v>
                </c:pt>
                <c:pt idx="32">
                  <c:v>249.72312254901959</c:v>
                </c:pt>
                <c:pt idx="33">
                  <c:v>249.72312254901959</c:v>
                </c:pt>
                <c:pt idx="34">
                  <c:v>249.72312254901959</c:v>
                </c:pt>
                <c:pt idx="35">
                  <c:v>249.72312254901959</c:v>
                </c:pt>
                <c:pt idx="36">
                  <c:v>249.72312254901959</c:v>
                </c:pt>
                <c:pt idx="37">
                  <c:v>249.72312254901959</c:v>
                </c:pt>
                <c:pt idx="38">
                  <c:v>249.72312254901959</c:v>
                </c:pt>
                <c:pt idx="39">
                  <c:v>249.72312254901959</c:v>
                </c:pt>
                <c:pt idx="40">
                  <c:v>249.72312254901959</c:v>
                </c:pt>
                <c:pt idx="41">
                  <c:v>249.72312254901959</c:v>
                </c:pt>
                <c:pt idx="42">
                  <c:v>249.72312254901959</c:v>
                </c:pt>
                <c:pt idx="43">
                  <c:v>249.72312254901959</c:v>
                </c:pt>
                <c:pt idx="44">
                  <c:v>249.72312254901959</c:v>
                </c:pt>
                <c:pt idx="45">
                  <c:v>249.72312254901959</c:v>
                </c:pt>
                <c:pt idx="46">
                  <c:v>249.72312254901959</c:v>
                </c:pt>
                <c:pt idx="47">
                  <c:v>249.72312254901959</c:v>
                </c:pt>
                <c:pt idx="48">
                  <c:v>249.72312254901959</c:v>
                </c:pt>
                <c:pt idx="49">
                  <c:v>249.72312254901959</c:v>
                </c:pt>
                <c:pt idx="50">
                  <c:v>249.72312254901959</c:v>
                </c:pt>
                <c:pt idx="51">
                  <c:v>249.72312254901959</c:v>
                </c:pt>
                <c:pt idx="52">
                  <c:v>249.72312254901959</c:v>
                </c:pt>
                <c:pt idx="53">
                  <c:v>249.72312254901959</c:v>
                </c:pt>
                <c:pt idx="54">
                  <c:v>249.72312254901959</c:v>
                </c:pt>
                <c:pt idx="55">
                  <c:v>249.72312254901959</c:v>
                </c:pt>
                <c:pt idx="56">
                  <c:v>249.72312254901959</c:v>
                </c:pt>
                <c:pt idx="57">
                  <c:v>249.72312254901959</c:v>
                </c:pt>
                <c:pt idx="58">
                  <c:v>249.72312254901959</c:v>
                </c:pt>
                <c:pt idx="59">
                  <c:v>249.72312254901959</c:v>
                </c:pt>
                <c:pt idx="60">
                  <c:v>249.72312254901959</c:v>
                </c:pt>
                <c:pt idx="61">
                  <c:v>249.72312254901959</c:v>
                </c:pt>
                <c:pt idx="62">
                  <c:v>249.72312254901959</c:v>
                </c:pt>
                <c:pt idx="63">
                  <c:v>249.72312254901959</c:v>
                </c:pt>
                <c:pt idx="64">
                  <c:v>249.72312254901959</c:v>
                </c:pt>
                <c:pt idx="65">
                  <c:v>249.72312254901959</c:v>
                </c:pt>
                <c:pt idx="66">
                  <c:v>249.72312254901959</c:v>
                </c:pt>
                <c:pt idx="67">
                  <c:v>249.72312254901959</c:v>
                </c:pt>
                <c:pt idx="68">
                  <c:v>249.72312254901959</c:v>
                </c:pt>
                <c:pt idx="69">
                  <c:v>249.72312254901959</c:v>
                </c:pt>
                <c:pt idx="70">
                  <c:v>249.72312254901959</c:v>
                </c:pt>
                <c:pt idx="71">
                  <c:v>249.72312254901959</c:v>
                </c:pt>
                <c:pt idx="72">
                  <c:v>249.72312254901959</c:v>
                </c:pt>
                <c:pt idx="73">
                  <c:v>249.72312254901959</c:v>
                </c:pt>
                <c:pt idx="74">
                  <c:v>249.72312254901959</c:v>
                </c:pt>
                <c:pt idx="75">
                  <c:v>249.72312254901959</c:v>
                </c:pt>
                <c:pt idx="76">
                  <c:v>249.72312254901959</c:v>
                </c:pt>
                <c:pt idx="77">
                  <c:v>249.72312254901959</c:v>
                </c:pt>
                <c:pt idx="78">
                  <c:v>249.72312254901959</c:v>
                </c:pt>
                <c:pt idx="79">
                  <c:v>249.72312254901959</c:v>
                </c:pt>
                <c:pt idx="80">
                  <c:v>249.72312254901959</c:v>
                </c:pt>
                <c:pt idx="81">
                  <c:v>249.72312254901959</c:v>
                </c:pt>
                <c:pt idx="82">
                  <c:v>249.72312254901959</c:v>
                </c:pt>
                <c:pt idx="83">
                  <c:v>249.72312254901959</c:v>
                </c:pt>
                <c:pt idx="84">
                  <c:v>249.72312254901959</c:v>
                </c:pt>
                <c:pt idx="85">
                  <c:v>249.72312254901959</c:v>
                </c:pt>
                <c:pt idx="86">
                  <c:v>249.72312254901959</c:v>
                </c:pt>
                <c:pt idx="87">
                  <c:v>249.72312254901959</c:v>
                </c:pt>
                <c:pt idx="88">
                  <c:v>249.72312254901959</c:v>
                </c:pt>
                <c:pt idx="89">
                  <c:v>249.72312254901959</c:v>
                </c:pt>
                <c:pt idx="90">
                  <c:v>249.72312254901959</c:v>
                </c:pt>
                <c:pt idx="91">
                  <c:v>249.72312254901959</c:v>
                </c:pt>
                <c:pt idx="92">
                  <c:v>249.72312254901959</c:v>
                </c:pt>
                <c:pt idx="93">
                  <c:v>249.72312254901959</c:v>
                </c:pt>
                <c:pt idx="94">
                  <c:v>249.72312254901959</c:v>
                </c:pt>
                <c:pt idx="95">
                  <c:v>249.72312254901959</c:v>
                </c:pt>
                <c:pt idx="96">
                  <c:v>249.72312254901959</c:v>
                </c:pt>
                <c:pt idx="97">
                  <c:v>249.72312254901959</c:v>
                </c:pt>
                <c:pt idx="98">
                  <c:v>249.72312254901959</c:v>
                </c:pt>
                <c:pt idx="99">
                  <c:v>249.72312254901959</c:v>
                </c:pt>
              </c:numCache>
            </c:numRef>
          </c:val>
          <c:smooth val="0"/>
          <c:extLst xmlns:c16r2="http://schemas.microsoft.com/office/drawing/2015/06/chart">
            <c:ext xmlns:c16="http://schemas.microsoft.com/office/drawing/2014/chart" uri="{C3380CC4-5D6E-409C-BE32-E72D297353CC}">
              <c16:uniqueId val="{0000000A-0142-46E9-97D7-3B57039E6C4E}"/>
            </c:ext>
          </c:extLst>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99.889249019607846</c:v>
                </c:pt>
                <c:pt idx="1">
                  <c:v>99.889249019607846</c:v>
                </c:pt>
                <c:pt idx="2">
                  <c:v>99.889249019607846</c:v>
                </c:pt>
                <c:pt idx="3">
                  <c:v>99.889249019607846</c:v>
                </c:pt>
                <c:pt idx="4">
                  <c:v>99.889249019607846</c:v>
                </c:pt>
                <c:pt idx="5">
                  <c:v>99.889249019607846</c:v>
                </c:pt>
                <c:pt idx="6">
                  <c:v>99.889249019607846</c:v>
                </c:pt>
                <c:pt idx="7">
                  <c:v>99.889249019607846</c:v>
                </c:pt>
                <c:pt idx="8">
                  <c:v>99.889249019607846</c:v>
                </c:pt>
                <c:pt idx="9">
                  <c:v>99.889249019607846</c:v>
                </c:pt>
                <c:pt idx="10">
                  <c:v>99.889249019607846</c:v>
                </c:pt>
                <c:pt idx="11">
                  <c:v>99.889249019607846</c:v>
                </c:pt>
                <c:pt idx="12">
                  <c:v>99.889249019607846</c:v>
                </c:pt>
                <c:pt idx="13">
                  <c:v>99.889249019607846</c:v>
                </c:pt>
                <c:pt idx="14">
                  <c:v>99.889249019607846</c:v>
                </c:pt>
                <c:pt idx="15">
                  <c:v>99.889249019607846</c:v>
                </c:pt>
                <c:pt idx="16">
                  <c:v>99.889249019607846</c:v>
                </c:pt>
                <c:pt idx="17">
                  <c:v>99.889249019607846</c:v>
                </c:pt>
                <c:pt idx="18">
                  <c:v>99.889249019607846</c:v>
                </c:pt>
                <c:pt idx="19">
                  <c:v>99.889249019607846</c:v>
                </c:pt>
                <c:pt idx="20">
                  <c:v>99.889249019607846</c:v>
                </c:pt>
                <c:pt idx="21">
                  <c:v>99.889249019607846</c:v>
                </c:pt>
                <c:pt idx="22">
                  <c:v>99.889249019607846</c:v>
                </c:pt>
                <c:pt idx="23">
                  <c:v>99.889249019607846</c:v>
                </c:pt>
                <c:pt idx="24">
                  <c:v>99.889249019607846</c:v>
                </c:pt>
                <c:pt idx="25">
                  <c:v>99.889249019607846</c:v>
                </c:pt>
                <c:pt idx="26">
                  <c:v>99.889249019607846</c:v>
                </c:pt>
                <c:pt idx="27">
                  <c:v>99.889249019607846</c:v>
                </c:pt>
                <c:pt idx="28">
                  <c:v>99.889249019607846</c:v>
                </c:pt>
                <c:pt idx="29">
                  <c:v>99.889249019607846</c:v>
                </c:pt>
                <c:pt idx="30">
                  <c:v>99.889249019607846</c:v>
                </c:pt>
                <c:pt idx="31">
                  <c:v>99.889249019607846</c:v>
                </c:pt>
                <c:pt idx="32">
                  <c:v>99.889249019607846</c:v>
                </c:pt>
                <c:pt idx="33">
                  <c:v>99.889249019607846</c:v>
                </c:pt>
                <c:pt idx="34">
                  <c:v>99.889249019607846</c:v>
                </c:pt>
                <c:pt idx="35">
                  <c:v>99.889249019607846</c:v>
                </c:pt>
                <c:pt idx="36">
                  <c:v>99.889249019607846</c:v>
                </c:pt>
                <c:pt idx="37">
                  <c:v>99.889249019607846</c:v>
                </c:pt>
                <c:pt idx="38">
                  <c:v>99.889249019607846</c:v>
                </c:pt>
                <c:pt idx="39">
                  <c:v>99.889249019607846</c:v>
                </c:pt>
                <c:pt idx="40">
                  <c:v>99.889249019607846</c:v>
                </c:pt>
                <c:pt idx="41">
                  <c:v>99.889249019607846</c:v>
                </c:pt>
                <c:pt idx="42">
                  <c:v>99.889249019607846</c:v>
                </c:pt>
                <c:pt idx="43">
                  <c:v>99.889249019607846</c:v>
                </c:pt>
                <c:pt idx="44">
                  <c:v>99.889249019607846</c:v>
                </c:pt>
                <c:pt idx="45">
                  <c:v>99.889249019607846</c:v>
                </c:pt>
                <c:pt idx="46">
                  <c:v>99.889249019607846</c:v>
                </c:pt>
                <c:pt idx="47">
                  <c:v>99.889249019607846</c:v>
                </c:pt>
                <c:pt idx="48">
                  <c:v>99.889249019607846</c:v>
                </c:pt>
                <c:pt idx="49">
                  <c:v>99.889249019607846</c:v>
                </c:pt>
                <c:pt idx="50">
                  <c:v>99.889249019607846</c:v>
                </c:pt>
                <c:pt idx="51">
                  <c:v>99.889249019607846</c:v>
                </c:pt>
                <c:pt idx="52">
                  <c:v>99.889249019607846</c:v>
                </c:pt>
                <c:pt idx="53">
                  <c:v>99.889249019607846</c:v>
                </c:pt>
                <c:pt idx="54">
                  <c:v>99.889249019607846</c:v>
                </c:pt>
                <c:pt idx="55">
                  <c:v>99.889249019607846</c:v>
                </c:pt>
                <c:pt idx="56">
                  <c:v>99.889249019607846</c:v>
                </c:pt>
                <c:pt idx="57">
                  <c:v>99.889249019607846</c:v>
                </c:pt>
                <c:pt idx="58">
                  <c:v>99.889249019607846</c:v>
                </c:pt>
                <c:pt idx="59">
                  <c:v>99.889249019607846</c:v>
                </c:pt>
                <c:pt idx="60">
                  <c:v>99.889249019607846</c:v>
                </c:pt>
                <c:pt idx="61">
                  <c:v>99.889249019607846</c:v>
                </c:pt>
                <c:pt idx="62">
                  <c:v>99.889249019607846</c:v>
                </c:pt>
                <c:pt idx="63">
                  <c:v>99.889249019607846</c:v>
                </c:pt>
                <c:pt idx="64">
                  <c:v>99.889249019607846</c:v>
                </c:pt>
                <c:pt idx="65">
                  <c:v>99.889249019607846</c:v>
                </c:pt>
                <c:pt idx="66">
                  <c:v>99.889249019607846</c:v>
                </c:pt>
                <c:pt idx="67">
                  <c:v>99.889249019607846</c:v>
                </c:pt>
                <c:pt idx="68">
                  <c:v>99.889249019607846</c:v>
                </c:pt>
                <c:pt idx="69">
                  <c:v>99.889249019607846</c:v>
                </c:pt>
                <c:pt idx="70">
                  <c:v>99.889249019607846</c:v>
                </c:pt>
                <c:pt idx="71">
                  <c:v>99.889249019607846</c:v>
                </c:pt>
                <c:pt idx="72">
                  <c:v>99.889249019607846</c:v>
                </c:pt>
                <c:pt idx="73">
                  <c:v>99.889249019607846</c:v>
                </c:pt>
                <c:pt idx="74">
                  <c:v>99.889249019607846</c:v>
                </c:pt>
                <c:pt idx="75">
                  <c:v>99.889249019607846</c:v>
                </c:pt>
                <c:pt idx="76">
                  <c:v>99.889249019607846</c:v>
                </c:pt>
                <c:pt idx="77">
                  <c:v>99.889249019607846</c:v>
                </c:pt>
                <c:pt idx="78">
                  <c:v>99.889249019607846</c:v>
                </c:pt>
                <c:pt idx="79">
                  <c:v>99.889249019607846</c:v>
                </c:pt>
                <c:pt idx="80">
                  <c:v>99.889249019607846</c:v>
                </c:pt>
                <c:pt idx="81">
                  <c:v>99.889249019607846</c:v>
                </c:pt>
                <c:pt idx="82">
                  <c:v>99.889249019607846</c:v>
                </c:pt>
                <c:pt idx="83">
                  <c:v>99.889249019607846</c:v>
                </c:pt>
                <c:pt idx="84">
                  <c:v>99.889249019607846</c:v>
                </c:pt>
                <c:pt idx="85">
                  <c:v>99.889249019607846</c:v>
                </c:pt>
                <c:pt idx="86">
                  <c:v>99.889249019607846</c:v>
                </c:pt>
                <c:pt idx="87">
                  <c:v>99.889249019607846</c:v>
                </c:pt>
                <c:pt idx="88">
                  <c:v>99.889249019607846</c:v>
                </c:pt>
                <c:pt idx="89">
                  <c:v>99.889249019607846</c:v>
                </c:pt>
                <c:pt idx="90">
                  <c:v>99.889249019607846</c:v>
                </c:pt>
                <c:pt idx="91">
                  <c:v>99.889249019607846</c:v>
                </c:pt>
                <c:pt idx="92">
                  <c:v>99.889249019607846</c:v>
                </c:pt>
                <c:pt idx="93">
                  <c:v>99.889249019607846</c:v>
                </c:pt>
                <c:pt idx="94">
                  <c:v>99.889249019607846</c:v>
                </c:pt>
                <c:pt idx="95">
                  <c:v>99.889249019607846</c:v>
                </c:pt>
                <c:pt idx="96">
                  <c:v>99.889249019607846</c:v>
                </c:pt>
                <c:pt idx="97">
                  <c:v>99.889249019607846</c:v>
                </c:pt>
                <c:pt idx="98">
                  <c:v>99.889249019607846</c:v>
                </c:pt>
                <c:pt idx="99">
                  <c:v>99.889249019607846</c:v>
                </c:pt>
              </c:numCache>
            </c:numRef>
          </c:val>
          <c:smooth val="1"/>
          <c:extLst xmlns:c16r2="http://schemas.microsoft.com/office/drawing/2015/06/chart">
            <c:ext xmlns:c16="http://schemas.microsoft.com/office/drawing/2014/chart" uri="{C3380CC4-5D6E-409C-BE32-E72D297353CC}">
              <c16:uniqueId val="{0000000B-0142-46E9-97D7-3B57039E6C4E}"/>
            </c:ext>
          </c:extLst>
        </c:ser>
        <c:dLbls>
          <c:showLegendKey val="0"/>
          <c:showVal val="0"/>
          <c:showCatName val="0"/>
          <c:showSerName val="0"/>
          <c:showPercent val="0"/>
          <c:showBubbleSize val="0"/>
        </c:dLbls>
        <c:marker val="1"/>
        <c:smooth val="0"/>
        <c:axId val="338536592"/>
        <c:axId val="338537152"/>
      </c:lineChart>
      <c:catAx>
        <c:axId val="338536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38537152"/>
        <c:crosses val="autoZero"/>
        <c:auto val="1"/>
        <c:lblAlgn val="ctr"/>
        <c:lblOffset val="500"/>
        <c:tickLblSkip val="5"/>
        <c:tickMarkSkip val="10"/>
        <c:noMultiLvlLbl val="0"/>
      </c:catAx>
      <c:valAx>
        <c:axId val="3385371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38536592"/>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339179248"/>
        <c:axId val="339179808"/>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814A-4141-B6C5-2C8098ECA6F9}"/>
            </c:ext>
          </c:extLst>
        </c:ser>
        <c:dLbls>
          <c:showLegendKey val="0"/>
          <c:showVal val="0"/>
          <c:showCatName val="0"/>
          <c:showSerName val="0"/>
          <c:showPercent val="0"/>
          <c:showBubbleSize val="0"/>
        </c:dLbls>
        <c:marker val="1"/>
        <c:smooth val="0"/>
        <c:axId val="339179248"/>
        <c:axId val="339179808"/>
      </c:lineChart>
      <c:dateAx>
        <c:axId val="339179248"/>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339179808"/>
        <c:crosses val="autoZero"/>
        <c:auto val="0"/>
        <c:lblOffset val="80"/>
        <c:baseTimeUnit val="months"/>
        <c:majorUnit val="6"/>
        <c:majorTimeUnit val="months"/>
        <c:minorUnit val="3"/>
        <c:minorTimeUnit val="months"/>
      </c:dateAx>
      <c:valAx>
        <c:axId val="339179808"/>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339179248"/>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7B9A-43C7-83F2-2A9C1C23E878}"/>
            </c:ext>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7B9A-43C7-83F2-2A9C1C23E878}"/>
            </c:ext>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расчет'!$Q$121:$Q$180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7B9A-43C7-83F2-2A9C1C23E878}"/>
            </c:ext>
          </c:extLst>
        </c:ser>
        <c:dLbls>
          <c:showLegendKey val="0"/>
          <c:showVal val="0"/>
          <c:showCatName val="0"/>
          <c:showSerName val="0"/>
          <c:showPercent val="0"/>
          <c:showBubbleSize val="0"/>
        </c:dLbls>
        <c:smooth val="0"/>
        <c:axId val="339183728"/>
        <c:axId val="339184288"/>
      </c:lineChart>
      <c:dateAx>
        <c:axId val="339183728"/>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339184288"/>
        <c:crosses val="autoZero"/>
        <c:auto val="0"/>
        <c:lblOffset val="100"/>
        <c:baseTimeUnit val="months"/>
        <c:majorUnit val="14"/>
        <c:majorTimeUnit val="months"/>
        <c:minorUnit val="7"/>
        <c:minorTimeUnit val="months"/>
      </c:dateAx>
      <c:valAx>
        <c:axId val="33918428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339183728"/>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83.18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16A-4CFB-857C-6CFF5257AF53}"/>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114.008</c:v>
                </c:pt>
                <c:pt idx="2">
                  <c:v>119.146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016A-4CFB-857C-6CFF5257AF53}"/>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132.084</c:v>
                </c:pt>
                <c:pt idx="4">
                  <c:v>137.22200000000001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016A-4CFB-857C-6CFF5257AF53}"/>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152.39800000000002</c:v>
                </c:pt>
                <c:pt idx="6">
                  <c:v>157.536</c:v>
                </c:pt>
                <c:pt idx="7">
                  <c:v>157.536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016A-4CFB-857C-6CFF5257AF53}"/>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180.68799999999999</c:v>
                </c:pt>
                <c:pt idx="9">
                  <c:v>180.68799999999999</c:v>
                </c:pt>
                <c:pt idx="10">
                  <c:v>194.56400000000002</c:v>
                </c:pt>
                <c:pt idx="11">
                  <c:v>194.56400000000002</c:v>
                </c:pt>
                <c:pt idx="12">
                  <c:v>202.80200000000002</c:v>
                </c:pt>
                <c:pt idx="13">
                  <c:v>202.80200000000002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016A-4CFB-857C-6CFF5257AF53}"/>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214.87799999999999</c:v>
                </c:pt>
                <c:pt idx="15">
                  <c:v>214.87799999999999</c:v>
                </c:pt>
                <c:pt idx="16">
                  <c:v>221.816</c:v>
                </c:pt>
                <c:pt idx="17">
                  <c:v>221.816</c:v>
                </c:pt>
                <c:pt idx="18">
                  <c:v>228.95400000000001</c:v>
                </c:pt>
                <c:pt idx="19">
                  <c:v>228.95400000000001</c:v>
                </c:pt>
                <c:pt idx="20">
                  <c:v>236.392</c:v>
                </c:pt>
                <c:pt idx="21">
                  <c:v>236.392</c:v>
                </c:pt>
                <c:pt idx="22">
                  <c:v>238.892</c:v>
                </c:pt>
                <c:pt idx="23">
                  <c:v>238.892</c:v>
                </c:pt>
                <c:pt idx="24">
                  <c:v>245.63</c:v>
                </c:pt>
                <c:pt idx="25">
                  <c:v>245.63</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016A-4CFB-857C-6CFF5257AF53}"/>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252.46799999999999</c:v>
                </c:pt>
                <c:pt idx="27">
                  <c:v>252.46799999999999</c:v>
                </c:pt>
                <c:pt idx="28">
                  <c:v>258.90600000000001</c:v>
                </c:pt>
                <c:pt idx="29">
                  <c:v>258.90600000000001</c:v>
                </c:pt>
                <c:pt idx="30">
                  <c:v>260.30599999999998</c:v>
                </c:pt>
                <c:pt idx="31">
                  <c:v>260.30599999999998</c:v>
                </c:pt>
                <c:pt idx="32">
                  <c:v>267.44400000000002</c:v>
                </c:pt>
                <c:pt idx="33">
                  <c:v>267.44400000000002</c:v>
                </c:pt>
                <c:pt idx="34">
                  <c:v>273.88200000000001</c:v>
                </c:pt>
                <c:pt idx="35">
                  <c:v>273.88200000000001</c:v>
                </c:pt>
                <c:pt idx="36">
                  <c:v>275.88200000000001</c:v>
                </c:pt>
                <c:pt idx="37">
                  <c:v>275.88200000000001</c:v>
                </c:pt>
                <c:pt idx="38">
                  <c:v>282.72000000000003</c:v>
                </c:pt>
                <c:pt idx="39">
                  <c:v>282.72000000000003</c:v>
                </c:pt>
                <c:pt idx="40">
                  <c:v>289.55799999999999</c:v>
                </c:pt>
                <c:pt idx="41">
                  <c:v>289.55799999999999</c:v>
                </c:pt>
                <c:pt idx="42">
                  <c:v>290.95800000000003</c:v>
                </c:pt>
                <c:pt idx="43">
                  <c:v>290.95800000000003</c:v>
                </c:pt>
                <c:pt idx="44">
                  <c:v>297.19600000000003</c:v>
                </c:pt>
                <c:pt idx="45">
                  <c:v>297.19600000000003</c:v>
                </c:pt>
                <c:pt idx="46">
                  <c:v>303.73399999999998</c:v>
                </c:pt>
                <c:pt idx="47">
                  <c:v>303.73399999999998</c:v>
                </c:pt>
                <c:pt idx="48">
                  <c:v>305.23399999999998</c:v>
                </c:pt>
                <c:pt idx="49">
                  <c:v>305.23399999999998</c:v>
                </c:pt>
                <c:pt idx="50">
                  <c:v>311.27199999999999</c:v>
                </c:pt>
                <c:pt idx="51">
                  <c:v>311.27199999999999</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016A-4CFB-857C-6CFF5257AF53}"/>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317.61</c:v>
                </c:pt>
                <c:pt idx="53">
                  <c:v>317.61</c:v>
                </c:pt>
                <c:pt idx="54">
                  <c:v>319.70999999999998</c:v>
                </c:pt>
                <c:pt idx="55">
                  <c:v>319.70999999999998</c:v>
                </c:pt>
                <c:pt idx="56">
                  <c:v>326.94799999999998</c:v>
                </c:pt>
                <c:pt idx="57">
                  <c:v>326.94799999999998</c:v>
                </c:pt>
                <c:pt idx="58">
                  <c:v>334.48599999999999</c:v>
                </c:pt>
                <c:pt idx="59">
                  <c:v>334.48599999999999</c:v>
                </c:pt>
                <c:pt idx="60">
                  <c:v>336.38599999999997</c:v>
                </c:pt>
                <c:pt idx="61">
                  <c:v>336.38599999999997</c:v>
                </c:pt>
                <c:pt idx="62">
                  <c:v>343.024</c:v>
                </c:pt>
                <c:pt idx="63">
                  <c:v>343.024</c:v>
                </c:pt>
                <c:pt idx="64">
                  <c:v>349.66200000000003</c:v>
                </c:pt>
                <c:pt idx="65">
                  <c:v>349.66200000000003</c:v>
                </c:pt>
                <c:pt idx="66">
                  <c:v>351.36199999999997</c:v>
                </c:pt>
                <c:pt idx="67">
                  <c:v>351.36199999999997</c:v>
                </c:pt>
                <c:pt idx="68">
                  <c:v>358.20000000000005</c:v>
                </c:pt>
                <c:pt idx="69">
                  <c:v>358.20000000000005</c:v>
                </c:pt>
                <c:pt idx="70">
                  <c:v>364.738</c:v>
                </c:pt>
                <c:pt idx="71">
                  <c:v>364.738</c:v>
                </c:pt>
                <c:pt idx="72">
                  <c:v>371.17599999999999</c:v>
                </c:pt>
                <c:pt idx="73">
                  <c:v>371.17599999999999</c:v>
                </c:pt>
                <c:pt idx="74">
                  <c:v>372.87599999999998</c:v>
                </c:pt>
                <c:pt idx="75">
                  <c:v>372.87599999999998</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016A-4CFB-857C-6CFF5257AF53}"/>
            </c:ext>
          </c:extLst>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379.71399999999994</c:v>
                </c:pt>
                <c:pt idx="77">
                  <c:v>379.71399999999994</c:v>
                </c:pt>
                <c:pt idx="78">
                  <c:v>386.65199999999999</c:v>
                </c:pt>
                <c:pt idx="79">
                  <c:v>386.65199999999999</c:v>
                </c:pt>
                <c:pt idx="80">
                  <c:v>393.99</c:v>
                </c:pt>
                <c:pt idx="81">
                  <c:v>393.99</c:v>
                </c:pt>
                <c:pt idx="82">
                  <c:v>400.52800000000002</c:v>
                </c:pt>
                <c:pt idx="83">
                  <c:v>400.52800000000002</c:v>
                </c:pt>
                <c:pt idx="84">
                  <c:v>407.06599999999997</c:v>
                </c:pt>
                <c:pt idx="85">
                  <c:v>407.06599999999997</c:v>
                </c:pt>
                <c:pt idx="86">
                  <c:v>413.70400000000001</c:v>
                </c:pt>
                <c:pt idx="87">
                  <c:v>413.70400000000001</c:v>
                </c:pt>
                <c:pt idx="88">
                  <c:v>431.11799999999999</c:v>
                </c:pt>
                <c:pt idx="89">
                  <c:v>431.11799999999999</c:v>
                </c:pt>
                <c:pt idx="90">
                  <c:v>443.29399999999998</c:v>
                </c:pt>
                <c:pt idx="91">
                  <c:v>443.29399999999998</c:v>
                </c:pt>
                <c:pt idx="92">
                  <c:v>467.24600000000004</c:v>
                </c:pt>
                <c:pt idx="93">
                  <c:v>467.24600000000004</c:v>
                </c:pt>
                <c:pt idx="94">
                  <c:v>482.32200000000006</c:v>
                </c:pt>
                <c:pt idx="95">
                  <c:v>493.96000000000004</c:v>
                </c:pt>
                <c:pt idx="96">
                  <c:v>499.09799999999996</c:v>
                </c:pt>
                <c:pt idx="97">
                  <c:v>531.11199999999997</c:v>
                </c:pt>
                <c:pt idx="98">
                  <c:v>541.38800000000003</c:v>
                </c:pt>
                <c:pt idx="99">
                  <c:v>610.91600000000005</c:v>
                </c:pt>
              </c:numCache>
            </c:numRef>
          </c:val>
          <c:extLst xmlns:c16r2="http://schemas.microsoft.com/office/drawing/2015/06/chart">
            <c:ext xmlns:c16="http://schemas.microsoft.com/office/drawing/2014/chart" uri="{C3380CC4-5D6E-409C-BE32-E72D297353CC}">
              <c16:uniqueId val="{00000008-016A-4CFB-857C-6CFF5257AF53}"/>
            </c:ext>
          </c:extLst>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297.38177264376628</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016A-4CFB-857C-6CFF5257AF53}"/>
            </c:ext>
          </c:extLst>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266.21936357599344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A-016A-4CFB-857C-6CFF5257AF53}"/>
            </c:ext>
          </c:extLst>
        </c:ser>
        <c:dLbls>
          <c:showLegendKey val="0"/>
          <c:showVal val="0"/>
          <c:showCatName val="0"/>
          <c:showSerName val="0"/>
          <c:showPercent val="0"/>
          <c:showBubbleSize val="0"/>
        </c:dLbls>
        <c:gapWidth val="0"/>
        <c:overlap val="100"/>
        <c:axId val="340316320"/>
        <c:axId val="340316880"/>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249.72312254901959</c:v>
                </c:pt>
                <c:pt idx="1">
                  <c:v>249.72312254901959</c:v>
                </c:pt>
                <c:pt idx="2">
                  <c:v>249.72312254901959</c:v>
                </c:pt>
                <c:pt idx="3">
                  <c:v>249.72312254901959</c:v>
                </c:pt>
                <c:pt idx="4">
                  <c:v>249.72312254901959</c:v>
                </c:pt>
                <c:pt idx="5">
                  <c:v>249.72312254901959</c:v>
                </c:pt>
                <c:pt idx="6">
                  <c:v>249.72312254901959</c:v>
                </c:pt>
                <c:pt idx="7">
                  <c:v>249.72312254901959</c:v>
                </c:pt>
                <c:pt idx="8">
                  <c:v>249.72312254901959</c:v>
                </c:pt>
                <c:pt idx="9">
                  <c:v>249.72312254901959</c:v>
                </c:pt>
                <c:pt idx="10">
                  <c:v>249.72312254901959</c:v>
                </c:pt>
                <c:pt idx="11">
                  <c:v>249.72312254901959</c:v>
                </c:pt>
                <c:pt idx="12">
                  <c:v>249.72312254901959</c:v>
                </c:pt>
                <c:pt idx="13">
                  <c:v>249.72312254901959</c:v>
                </c:pt>
                <c:pt idx="14">
                  <c:v>249.72312254901959</c:v>
                </c:pt>
                <c:pt idx="15">
                  <c:v>249.72312254901959</c:v>
                </c:pt>
                <c:pt idx="16">
                  <c:v>249.72312254901959</c:v>
                </c:pt>
                <c:pt idx="17">
                  <c:v>249.72312254901959</c:v>
                </c:pt>
                <c:pt idx="18">
                  <c:v>249.72312254901959</c:v>
                </c:pt>
                <c:pt idx="19">
                  <c:v>249.72312254901959</c:v>
                </c:pt>
                <c:pt idx="20">
                  <c:v>249.72312254901959</c:v>
                </c:pt>
                <c:pt idx="21">
                  <c:v>249.72312254901959</c:v>
                </c:pt>
                <c:pt idx="22">
                  <c:v>249.72312254901959</c:v>
                </c:pt>
                <c:pt idx="23">
                  <c:v>249.72312254901959</c:v>
                </c:pt>
                <c:pt idx="24">
                  <c:v>249.72312254901959</c:v>
                </c:pt>
                <c:pt idx="25">
                  <c:v>249.72312254901959</c:v>
                </c:pt>
                <c:pt idx="26">
                  <c:v>249.72312254901959</c:v>
                </c:pt>
                <c:pt idx="27">
                  <c:v>249.72312254901959</c:v>
                </c:pt>
                <c:pt idx="28">
                  <c:v>249.72312254901959</c:v>
                </c:pt>
                <c:pt idx="29">
                  <c:v>249.72312254901959</c:v>
                </c:pt>
                <c:pt idx="30">
                  <c:v>249.72312254901959</c:v>
                </c:pt>
                <c:pt idx="31">
                  <c:v>249.72312254901959</c:v>
                </c:pt>
                <c:pt idx="32">
                  <c:v>249.72312254901959</c:v>
                </c:pt>
                <c:pt idx="33">
                  <c:v>249.72312254901959</c:v>
                </c:pt>
                <c:pt idx="34">
                  <c:v>249.72312254901959</c:v>
                </c:pt>
                <c:pt idx="35">
                  <c:v>249.72312254901959</c:v>
                </c:pt>
                <c:pt idx="36">
                  <c:v>249.72312254901959</c:v>
                </c:pt>
                <c:pt idx="37">
                  <c:v>249.72312254901959</c:v>
                </c:pt>
                <c:pt idx="38">
                  <c:v>249.72312254901959</c:v>
                </c:pt>
                <c:pt idx="39">
                  <c:v>249.72312254901959</c:v>
                </c:pt>
                <c:pt idx="40">
                  <c:v>249.72312254901959</c:v>
                </c:pt>
                <c:pt idx="41">
                  <c:v>249.72312254901959</c:v>
                </c:pt>
                <c:pt idx="42">
                  <c:v>249.72312254901959</c:v>
                </c:pt>
                <c:pt idx="43">
                  <c:v>249.72312254901959</c:v>
                </c:pt>
                <c:pt idx="44">
                  <c:v>249.72312254901959</c:v>
                </c:pt>
                <c:pt idx="45">
                  <c:v>249.72312254901959</c:v>
                </c:pt>
                <c:pt idx="46">
                  <c:v>249.72312254901959</c:v>
                </c:pt>
                <c:pt idx="47">
                  <c:v>249.72312254901959</c:v>
                </c:pt>
                <c:pt idx="48">
                  <c:v>249.72312254901959</c:v>
                </c:pt>
                <c:pt idx="49">
                  <c:v>249.72312254901959</c:v>
                </c:pt>
                <c:pt idx="50">
                  <c:v>249.72312254901959</c:v>
                </c:pt>
                <c:pt idx="51">
                  <c:v>249.72312254901959</c:v>
                </c:pt>
                <c:pt idx="52">
                  <c:v>249.72312254901959</c:v>
                </c:pt>
                <c:pt idx="53">
                  <c:v>249.72312254901959</c:v>
                </c:pt>
                <c:pt idx="54">
                  <c:v>249.72312254901959</c:v>
                </c:pt>
                <c:pt idx="55">
                  <c:v>249.72312254901959</c:v>
                </c:pt>
                <c:pt idx="56">
                  <c:v>249.72312254901959</c:v>
                </c:pt>
                <c:pt idx="57">
                  <c:v>249.72312254901959</c:v>
                </c:pt>
                <c:pt idx="58">
                  <c:v>249.72312254901959</c:v>
                </c:pt>
                <c:pt idx="59">
                  <c:v>249.72312254901959</c:v>
                </c:pt>
                <c:pt idx="60">
                  <c:v>249.72312254901959</c:v>
                </c:pt>
                <c:pt idx="61">
                  <c:v>249.72312254901959</c:v>
                </c:pt>
                <c:pt idx="62">
                  <c:v>249.72312254901959</c:v>
                </c:pt>
                <c:pt idx="63">
                  <c:v>249.72312254901959</c:v>
                </c:pt>
                <c:pt idx="64">
                  <c:v>249.72312254901959</c:v>
                </c:pt>
                <c:pt idx="65">
                  <c:v>249.72312254901959</c:v>
                </c:pt>
                <c:pt idx="66">
                  <c:v>249.72312254901959</c:v>
                </c:pt>
                <c:pt idx="67">
                  <c:v>249.72312254901959</c:v>
                </c:pt>
                <c:pt idx="68">
                  <c:v>249.72312254901959</c:v>
                </c:pt>
                <c:pt idx="69">
                  <c:v>249.72312254901959</c:v>
                </c:pt>
                <c:pt idx="70">
                  <c:v>249.72312254901959</c:v>
                </c:pt>
                <c:pt idx="71">
                  <c:v>249.72312254901959</c:v>
                </c:pt>
                <c:pt idx="72">
                  <c:v>249.72312254901959</c:v>
                </c:pt>
                <c:pt idx="73">
                  <c:v>249.72312254901959</c:v>
                </c:pt>
                <c:pt idx="74">
                  <c:v>249.72312254901959</c:v>
                </c:pt>
                <c:pt idx="75">
                  <c:v>249.72312254901959</c:v>
                </c:pt>
                <c:pt idx="76">
                  <c:v>249.72312254901959</c:v>
                </c:pt>
                <c:pt idx="77">
                  <c:v>249.72312254901959</c:v>
                </c:pt>
                <c:pt idx="78">
                  <c:v>249.72312254901959</c:v>
                </c:pt>
                <c:pt idx="79">
                  <c:v>249.72312254901959</c:v>
                </c:pt>
                <c:pt idx="80">
                  <c:v>249.72312254901959</c:v>
                </c:pt>
                <c:pt idx="81">
                  <c:v>249.72312254901959</c:v>
                </c:pt>
                <c:pt idx="82">
                  <c:v>249.72312254901959</c:v>
                </c:pt>
                <c:pt idx="83">
                  <c:v>249.72312254901959</c:v>
                </c:pt>
                <c:pt idx="84">
                  <c:v>249.72312254901959</c:v>
                </c:pt>
                <c:pt idx="85">
                  <c:v>249.72312254901959</c:v>
                </c:pt>
                <c:pt idx="86">
                  <c:v>249.72312254901959</c:v>
                </c:pt>
                <c:pt idx="87">
                  <c:v>249.72312254901959</c:v>
                </c:pt>
                <c:pt idx="88">
                  <c:v>249.72312254901959</c:v>
                </c:pt>
                <c:pt idx="89">
                  <c:v>249.72312254901959</c:v>
                </c:pt>
                <c:pt idx="90">
                  <c:v>249.72312254901959</c:v>
                </c:pt>
                <c:pt idx="91">
                  <c:v>249.72312254901959</c:v>
                </c:pt>
                <c:pt idx="92">
                  <c:v>249.72312254901959</c:v>
                </c:pt>
                <c:pt idx="93">
                  <c:v>249.72312254901959</c:v>
                </c:pt>
                <c:pt idx="94">
                  <c:v>249.72312254901959</c:v>
                </c:pt>
                <c:pt idx="95">
                  <c:v>249.72312254901959</c:v>
                </c:pt>
                <c:pt idx="96">
                  <c:v>249.72312254901959</c:v>
                </c:pt>
                <c:pt idx="97">
                  <c:v>249.72312254901959</c:v>
                </c:pt>
                <c:pt idx="98">
                  <c:v>249.72312254901959</c:v>
                </c:pt>
                <c:pt idx="99">
                  <c:v>249.72312254901959</c:v>
                </c:pt>
              </c:numCache>
            </c:numRef>
          </c:val>
          <c:smooth val="0"/>
          <c:extLst xmlns:c16r2="http://schemas.microsoft.com/office/drawing/2015/06/chart">
            <c:ext xmlns:c16="http://schemas.microsoft.com/office/drawing/2014/chart" uri="{C3380CC4-5D6E-409C-BE32-E72D297353CC}">
              <c16:uniqueId val="{0000000B-016A-4CFB-857C-6CFF5257AF53}"/>
            </c:ext>
          </c:extLst>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99.889249019607846</c:v>
                </c:pt>
                <c:pt idx="1">
                  <c:v>99.889249019607846</c:v>
                </c:pt>
                <c:pt idx="2">
                  <c:v>99.889249019607846</c:v>
                </c:pt>
                <c:pt idx="3">
                  <c:v>99.889249019607846</c:v>
                </c:pt>
                <c:pt idx="4">
                  <c:v>99.889249019607846</c:v>
                </c:pt>
                <c:pt idx="5">
                  <c:v>99.889249019607846</c:v>
                </c:pt>
                <c:pt idx="6">
                  <c:v>99.889249019607846</c:v>
                </c:pt>
                <c:pt idx="7">
                  <c:v>99.889249019607846</c:v>
                </c:pt>
                <c:pt idx="8">
                  <c:v>99.889249019607846</c:v>
                </c:pt>
                <c:pt idx="9">
                  <c:v>99.889249019607846</c:v>
                </c:pt>
                <c:pt idx="10">
                  <c:v>99.889249019607846</c:v>
                </c:pt>
                <c:pt idx="11">
                  <c:v>99.889249019607846</c:v>
                </c:pt>
                <c:pt idx="12">
                  <c:v>99.889249019607846</c:v>
                </c:pt>
                <c:pt idx="13">
                  <c:v>99.889249019607846</c:v>
                </c:pt>
                <c:pt idx="14">
                  <c:v>99.889249019607846</c:v>
                </c:pt>
                <c:pt idx="15">
                  <c:v>99.889249019607846</c:v>
                </c:pt>
                <c:pt idx="16">
                  <c:v>99.889249019607846</c:v>
                </c:pt>
                <c:pt idx="17">
                  <c:v>99.889249019607846</c:v>
                </c:pt>
                <c:pt idx="18">
                  <c:v>99.889249019607846</c:v>
                </c:pt>
                <c:pt idx="19">
                  <c:v>99.889249019607846</c:v>
                </c:pt>
                <c:pt idx="20">
                  <c:v>99.889249019607846</c:v>
                </c:pt>
                <c:pt idx="21">
                  <c:v>99.889249019607846</c:v>
                </c:pt>
                <c:pt idx="22">
                  <c:v>99.889249019607846</c:v>
                </c:pt>
                <c:pt idx="23">
                  <c:v>99.889249019607846</c:v>
                </c:pt>
                <c:pt idx="24">
                  <c:v>99.889249019607846</c:v>
                </c:pt>
                <c:pt idx="25">
                  <c:v>99.889249019607846</c:v>
                </c:pt>
                <c:pt idx="26">
                  <c:v>99.889249019607846</c:v>
                </c:pt>
                <c:pt idx="27">
                  <c:v>99.889249019607846</c:v>
                </c:pt>
                <c:pt idx="28">
                  <c:v>99.889249019607846</c:v>
                </c:pt>
                <c:pt idx="29">
                  <c:v>99.889249019607846</c:v>
                </c:pt>
                <c:pt idx="30">
                  <c:v>99.889249019607846</c:v>
                </c:pt>
                <c:pt idx="31">
                  <c:v>99.889249019607846</c:v>
                </c:pt>
                <c:pt idx="32">
                  <c:v>99.889249019607846</c:v>
                </c:pt>
                <c:pt idx="33">
                  <c:v>99.889249019607846</c:v>
                </c:pt>
                <c:pt idx="34">
                  <c:v>99.889249019607846</c:v>
                </c:pt>
                <c:pt idx="35">
                  <c:v>99.889249019607846</c:v>
                </c:pt>
                <c:pt idx="36">
                  <c:v>99.889249019607846</c:v>
                </c:pt>
                <c:pt idx="37">
                  <c:v>99.889249019607846</c:v>
                </c:pt>
                <c:pt idx="38">
                  <c:v>99.889249019607846</c:v>
                </c:pt>
                <c:pt idx="39">
                  <c:v>99.889249019607846</c:v>
                </c:pt>
                <c:pt idx="40">
                  <c:v>99.889249019607846</c:v>
                </c:pt>
                <c:pt idx="41">
                  <c:v>99.889249019607846</c:v>
                </c:pt>
                <c:pt idx="42">
                  <c:v>99.889249019607846</c:v>
                </c:pt>
                <c:pt idx="43">
                  <c:v>99.889249019607846</c:v>
                </c:pt>
                <c:pt idx="44">
                  <c:v>99.889249019607846</c:v>
                </c:pt>
                <c:pt idx="45">
                  <c:v>99.889249019607846</c:v>
                </c:pt>
                <c:pt idx="46">
                  <c:v>99.889249019607846</c:v>
                </c:pt>
                <c:pt idx="47">
                  <c:v>99.889249019607846</c:v>
                </c:pt>
                <c:pt idx="48">
                  <c:v>99.889249019607846</c:v>
                </c:pt>
                <c:pt idx="49">
                  <c:v>99.889249019607846</c:v>
                </c:pt>
                <c:pt idx="50">
                  <c:v>99.889249019607846</c:v>
                </c:pt>
                <c:pt idx="51">
                  <c:v>99.889249019607846</c:v>
                </c:pt>
                <c:pt idx="52">
                  <c:v>99.889249019607846</c:v>
                </c:pt>
                <c:pt idx="53">
                  <c:v>99.889249019607846</c:v>
                </c:pt>
                <c:pt idx="54">
                  <c:v>99.889249019607846</c:v>
                </c:pt>
                <c:pt idx="55">
                  <c:v>99.889249019607846</c:v>
                </c:pt>
                <c:pt idx="56">
                  <c:v>99.889249019607846</c:v>
                </c:pt>
                <c:pt idx="57">
                  <c:v>99.889249019607846</c:v>
                </c:pt>
                <c:pt idx="58">
                  <c:v>99.889249019607846</c:v>
                </c:pt>
                <c:pt idx="59">
                  <c:v>99.889249019607846</c:v>
                </c:pt>
                <c:pt idx="60">
                  <c:v>99.889249019607846</c:v>
                </c:pt>
                <c:pt idx="61">
                  <c:v>99.889249019607846</c:v>
                </c:pt>
                <c:pt idx="62">
                  <c:v>99.889249019607846</c:v>
                </c:pt>
                <c:pt idx="63">
                  <c:v>99.889249019607846</c:v>
                </c:pt>
                <c:pt idx="64">
                  <c:v>99.889249019607846</c:v>
                </c:pt>
                <c:pt idx="65">
                  <c:v>99.889249019607846</c:v>
                </c:pt>
                <c:pt idx="66">
                  <c:v>99.889249019607846</c:v>
                </c:pt>
                <c:pt idx="67">
                  <c:v>99.889249019607846</c:v>
                </c:pt>
                <c:pt idx="68">
                  <c:v>99.889249019607846</c:v>
                </c:pt>
                <c:pt idx="69">
                  <c:v>99.889249019607846</c:v>
                </c:pt>
                <c:pt idx="70">
                  <c:v>99.889249019607846</c:v>
                </c:pt>
                <c:pt idx="71">
                  <c:v>99.889249019607846</c:v>
                </c:pt>
                <c:pt idx="72">
                  <c:v>99.889249019607846</c:v>
                </c:pt>
                <c:pt idx="73">
                  <c:v>99.889249019607846</c:v>
                </c:pt>
                <c:pt idx="74">
                  <c:v>99.889249019607846</c:v>
                </c:pt>
                <c:pt idx="75">
                  <c:v>99.889249019607846</c:v>
                </c:pt>
                <c:pt idx="76">
                  <c:v>99.889249019607846</c:v>
                </c:pt>
                <c:pt idx="77">
                  <c:v>99.889249019607846</c:v>
                </c:pt>
                <c:pt idx="78">
                  <c:v>99.889249019607846</c:v>
                </c:pt>
                <c:pt idx="79">
                  <c:v>99.889249019607846</c:v>
                </c:pt>
                <c:pt idx="80">
                  <c:v>99.889249019607846</c:v>
                </c:pt>
                <c:pt idx="81">
                  <c:v>99.889249019607846</c:v>
                </c:pt>
                <c:pt idx="82">
                  <c:v>99.889249019607846</c:v>
                </c:pt>
                <c:pt idx="83">
                  <c:v>99.889249019607846</c:v>
                </c:pt>
                <c:pt idx="84">
                  <c:v>99.889249019607846</c:v>
                </c:pt>
                <c:pt idx="85">
                  <c:v>99.889249019607846</c:v>
                </c:pt>
                <c:pt idx="86">
                  <c:v>99.889249019607846</c:v>
                </c:pt>
                <c:pt idx="87">
                  <c:v>99.889249019607846</c:v>
                </c:pt>
                <c:pt idx="88">
                  <c:v>99.889249019607846</c:v>
                </c:pt>
                <c:pt idx="89">
                  <c:v>99.889249019607846</c:v>
                </c:pt>
                <c:pt idx="90">
                  <c:v>99.889249019607846</c:v>
                </c:pt>
                <c:pt idx="91">
                  <c:v>99.889249019607846</c:v>
                </c:pt>
                <c:pt idx="92">
                  <c:v>99.889249019607846</c:v>
                </c:pt>
                <c:pt idx="93">
                  <c:v>99.889249019607846</c:v>
                </c:pt>
                <c:pt idx="94">
                  <c:v>99.889249019607846</c:v>
                </c:pt>
                <c:pt idx="95">
                  <c:v>99.889249019607846</c:v>
                </c:pt>
                <c:pt idx="96">
                  <c:v>99.889249019607846</c:v>
                </c:pt>
                <c:pt idx="97">
                  <c:v>99.889249019607846</c:v>
                </c:pt>
                <c:pt idx="98">
                  <c:v>99.889249019607846</c:v>
                </c:pt>
                <c:pt idx="99">
                  <c:v>99.889249019607846</c:v>
                </c:pt>
              </c:numCache>
            </c:numRef>
          </c:val>
          <c:smooth val="1"/>
          <c:extLst xmlns:c16r2="http://schemas.microsoft.com/office/drawing/2015/06/chart">
            <c:ext xmlns:c16="http://schemas.microsoft.com/office/drawing/2014/chart" uri="{C3380CC4-5D6E-409C-BE32-E72D297353CC}">
              <c16:uniqueId val="{0000000C-016A-4CFB-857C-6CFF5257AF53}"/>
            </c:ext>
          </c:extLst>
        </c:ser>
        <c:dLbls>
          <c:showLegendKey val="0"/>
          <c:showVal val="0"/>
          <c:showCatName val="0"/>
          <c:showSerName val="0"/>
          <c:showPercent val="0"/>
          <c:showBubbleSize val="0"/>
        </c:dLbls>
        <c:marker val="1"/>
        <c:smooth val="0"/>
        <c:axId val="340316320"/>
        <c:axId val="340316880"/>
      </c:lineChart>
      <c:catAx>
        <c:axId val="340316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40316880"/>
        <c:crosses val="autoZero"/>
        <c:auto val="1"/>
        <c:lblAlgn val="ctr"/>
        <c:lblOffset val="500"/>
        <c:tickLblSkip val="5"/>
        <c:tickMarkSkip val="10"/>
        <c:noMultiLvlLbl val="0"/>
      </c:catAx>
      <c:valAx>
        <c:axId val="3403168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40316320"/>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4382-47A1-8FA0-DD800B546ED3}"/>
            </c:ext>
          </c:extLst>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3.2055732919976834E-2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4382-47A1-8FA0-DD800B546ED3}"/>
            </c:ext>
          </c:extLst>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3.8163524461606466E-2</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4382-47A1-8FA0-DD800B546ED3}"/>
            </c:ext>
          </c:extLst>
        </c:ser>
        <c:dLbls>
          <c:showLegendKey val="0"/>
          <c:showVal val="0"/>
          <c:showCatName val="0"/>
          <c:showSerName val="0"/>
          <c:showPercent val="0"/>
          <c:showBubbleSize val="0"/>
        </c:dLbls>
        <c:gapWidth val="0"/>
        <c:overlap val="100"/>
        <c:axId val="340321920"/>
        <c:axId val="34032248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1.9963069287660569E-2</c:v>
                </c:pt>
                <c:pt idx="1">
                  <c:v>1.9963069287660569E-2</c:v>
                </c:pt>
                <c:pt idx="2">
                  <c:v>1.9963069287660569E-2</c:v>
                </c:pt>
                <c:pt idx="3">
                  <c:v>1.9963069287660569E-2</c:v>
                </c:pt>
                <c:pt idx="4">
                  <c:v>1.9963069287660569E-2</c:v>
                </c:pt>
                <c:pt idx="5">
                  <c:v>1.9963069287660569E-2</c:v>
                </c:pt>
                <c:pt idx="6">
                  <c:v>1.9963069287660569E-2</c:v>
                </c:pt>
                <c:pt idx="7">
                  <c:v>1.9963069287660569E-2</c:v>
                </c:pt>
                <c:pt idx="8">
                  <c:v>1.9963069287660569E-2</c:v>
                </c:pt>
                <c:pt idx="9">
                  <c:v>1.9963069287660569E-2</c:v>
                </c:pt>
                <c:pt idx="10">
                  <c:v>1.9963069287660569E-2</c:v>
                </c:pt>
                <c:pt idx="11">
                  <c:v>1.9963069287660569E-2</c:v>
                </c:pt>
                <c:pt idx="12">
                  <c:v>1.9963069287660569E-2</c:v>
                </c:pt>
                <c:pt idx="13">
                  <c:v>1.9963069287660569E-2</c:v>
                </c:pt>
                <c:pt idx="14">
                  <c:v>1.9963069287660569E-2</c:v>
                </c:pt>
                <c:pt idx="15">
                  <c:v>1.9963069287660569E-2</c:v>
                </c:pt>
                <c:pt idx="16">
                  <c:v>1.9963069287660569E-2</c:v>
                </c:pt>
                <c:pt idx="17">
                  <c:v>1.9963069287660569E-2</c:v>
                </c:pt>
                <c:pt idx="18">
                  <c:v>1.9963069287660569E-2</c:v>
                </c:pt>
                <c:pt idx="19">
                  <c:v>1.9963069287660569E-2</c:v>
                </c:pt>
                <c:pt idx="20">
                  <c:v>1.9963069287660569E-2</c:v>
                </c:pt>
                <c:pt idx="21">
                  <c:v>1.9963069287660569E-2</c:v>
                </c:pt>
                <c:pt idx="22">
                  <c:v>1.9963069287660569E-2</c:v>
                </c:pt>
                <c:pt idx="23">
                  <c:v>1.9963069287660569E-2</c:v>
                </c:pt>
                <c:pt idx="24">
                  <c:v>1.9963069287660569E-2</c:v>
                </c:pt>
                <c:pt idx="25">
                  <c:v>1.9963069287660569E-2</c:v>
                </c:pt>
                <c:pt idx="26">
                  <c:v>1.9963069287660569E-2</c:v>
                </c:pt>
                <c:pt idx="27">
                  <c:v>1.9963069287660569E-2</c:v>
                </c:pt>
                <c:pt idx="28">
                  <c:v>1.9963069287660569E-2</c:v>
                </c:pt>
                <c:pt idx="29">
                  <c:v>1.9963069287660569E-2</c:v>
                </c:pt>
                <c:pt idx="30">
                  <c:v>1.9963069287660569E-2</c:v>
                </c:pt>
                <c:pt idx="31">
                  <c:v>1.9963069287660569E-2</c:v>
                </c:pt>
                <c:pt idx="32">
                  <c:v>1.9963069287660569E-2</c:v>
                </c:pt>
                <c:pt idx="33">
                  <c:v>1.9963069287660569E-2</c:v>
                </c:pt>
                <c:pt idx="34">
                  <c:v>1.9963069287660569E-2</c:v>
                </c:pt>
                <c:pt idx="35">
                  <c:v>1.9963069287660569E-2</c:v>
                </c:pt>
                <c:pt idx="36">
                  <c:v>1.9963069287660569E-2</c:v>
                </c:pt>
                <c:pt idx="37">
                  <c:v>1.9963069287660569E-2</c:v>
                </c:pt>
                <c:pt idx="38">
                  <c:v>1.9963069287660569E-2</c:v>
                </c:pt>
                <c:pt idx="39">
                  <c:v>1.9963069287660569E-2</c:v>
                </c:pt>
                <c:pt idx="40">
                  <c:v>1.9963069287660569E-2</c:v>
                </c:pt>
                <c:pt idx="41">
                  <c:v>1.9963069287660569E-2</c:v>
                </c:pt>
                <c:pt idx="42">
                  <c:v>1.9963069287660569E-2</c:v>
                </c:pt>
                <c:pt idx="43">
                  <c:v>1.9963069287660569E-2</c:v>
                </c:pt>
                <c:pt idx="44">
                  <c:v>1.9963069287660569E-2</c:v>
                </c:pt>
                <c:pt idx="45">
                  <c:v>1.9963069287660569E-2</c:v>
                </c:pt>
                <c:pt idx="46">
                  <c:v>1.9963069287660569E-2</c:v>
                </c:pt>
                <c:pt idx="47">
                  <c:v>1.9963069287660569E-2</c:v>
                </c:pt>
                <c:pt idx="48">
                  <c:v>1.9963069287660569E-2</c:v>
                </c:pt>
                <c:pt idx="49">
                  <c:v>1.9963069287660569E-2</c:v>
                </c:pt>
                <c:pt idx="50">
                  <c:v>1.9963069287660569E-2</c:v>
                </c:pt>
                <c:pt idx="51">
                  <c:v>1.9963069287660569E-2</c:v>
                </c:pt>
                <c:pt idx="52">
                  <c:v>1.9963069287660569E-2</c:v>
                </c:pt>
                <c:pt idx="53">
                  <c:v>1.9963069287660569E-2</c:v>
                </c:pt>
                <c:pt idx="54">
                  <c:v>1.9963069287660569E-2</c:v>
                </c:pt>
                <c:pt idx="55">
                  <c:v>1.9963069287660569E-2</c:v>
                </c:pt>
                <c:pt idx="56">
                  <c:v>1.9963069287660569E-2</c:v>
                </c:pt>
                <c:pt idx="57">
                  <c:v>1.9963069287660569E-2</c:v>
                </c:pt>
                <c:pt idx="58">
                  <c:v>1.9963069287660569E-2</c:v>
                </c:pt>
                <c:pt idx="59">
                  <c:v>1.9963069287660569E-2</c:v>
                </c:pt>
                <c:pt idx="60">
                  <c:v>1.9963069287660569E-2</c:v>
                </c:pt>
                <c:pt idx="61">
                  <c:v>1.9963069287660569E-2</c:v>
                </c:pt>
                <c:pt idx="62">
                  <c:v>1.9963069287660569E-2</c:v>
                </c:pt>
                <c:pt idx="63">
                  <c:v>1.9963069287660569E-2</c:v>
                </c:pt>
                <c:pt idx="64">
                  <c:v>1.9963069287660569E-2</c:v>
                </c:pt>
                <c:pt idx="65">
                  <c:v>1.9963069287660569E-2</c:v>
                </c:pt>
                <c:pt idx="66">
                  <c:v>1.9963069287660569E-2</c:v>
                </c:pt>
                <c:pt idx="67">
                  <c:v>1.9963069287660569E-2</c:v>
                </c:pt>
                <c:pt idx="68">
                  <c:v>1.9963069287660569E-2</c:v>
                </c:pt>
                <c:pt idx="69">
                  <c:v>1.9963069287660569E-2</c:v>
                </c:pt>
                <c:pt idx="70">
                  <c:v>1.9963069287660569E-2</c:v>
                </c:pt>
                <c:pt idx="71">
                  <c:v>1.9963069287660569E-2</c:v>
                </c:pt>
                <c:pt idx="72">
                  <c:v>1.9963069287660569E-2</c:v>
                </c:pt>
                <c:pt idx="73">
                  <c:v>1.9963069287660569E-2</c:v>
                </c:pt>
                <c:pt idx="74">
                  <c:v>1.9963069287660569E-2</c:v>
                </c:pt>
                <c:pt idx="75">
                  <c:v>1.9963069287660569E-2</c:v>
                </c:pt>
                <c:pt idx="76">
                  <c:v>1.9963069287660569E-2</c:v>
                </c:pt>
                <c:pt idx="77">
                  <c:v>1.9963069287660569E-2</c:v>
                </c:pt>
                <c:pt idx="78">
                  <c:v>1.9963069287660569E-2</c:v>
                </c:pt>
                <c:pt idx="79">
                  <c:v>1.9963069287660569E-2</c:v>
                </c:pt>
                <c:pt idx="80">
                  <c:v>1.9963069287660569E-2</c:v>
                </c:pt>
                <c:pt idx="81">
                  <c:v>1.9963069287660569E-2</c:v>
                </c:pt>
                <c:pt idx="82">
                  <c:v>1.9963069287660569E-2</c:v>
                </c:pt>
                <c:pt idx="83">
                  <c:v>1.9963069287660569E-2</c:v>
                </c:pt>
                <c:pt idx="84">
                  <c:v>1.9963069287660569E-2</c:v>
                </c:pt>
                <c:pt idx="85">
                  <c:v>1.9963069287660569E-2</c:v>
                </c:pt>
                <c:pt idx="86">
                  <c:v>1.9963069287660569E-2</c:v>
                </c:pt>
                <c:pt idx="87">
                  <c:v>1.9963069287660569E-2</c:v>
                </c:pt>
                <c:pt idx="88">
                  <c:v>1.9963069287660569E-2</c:v>
                </c:pt>
                <c:pt idx="89">
                  <c:v>1.9963069287660569E-2</c:v>
                </c:pt>
                <c:pt idx="90">
                  <c:v>1.9963069287660569E-2</c:v>
                </c:pt>
                <c:pt idx="91">
                  <c:v>1.9963069287660569E-2</c:v>
                </c:pt>
                <c:pt idx="92">
                  <c:v>1.9963069287660569E-2</c:v>
                </c:pt>
                <c:pt idx="93">
                  <c:v>1.9963069287660569E-2</c:v>
                </c:pt>
                <c:pt idx="94">
                  <c:v>1.9963069287660569E-2</c:v>
                </c:pt>
                <c:pt idx="95">
                  <c:v>1.9963069287660569E-2</c:v>
                </c:pt>
                <c:pt idx="96">
                  <c:v>1.9963069287660569E-2</c:v>
                </c:pt>
                <c:pt idx="97">
                  <c:v>1.9963069287660569E-2</c:v>
                </c:pt>
                <c:pt idx="98">
                  <c:v>1.9963069287660569E-2</c:v>
                </c:pt>
                <c:pt idx="99">
                  <c:v>1.9963069287660569E-2</c:v>
                </c:pt>
              </c:numCache>
            </c:numRef>
          </c:val>
          <c:smooth val="0"/>
          <c:extLst xmlns:c16r2="http://schemas.microsoft.com/office/drawing/2015/06/chart">
            <c:ext xmlns:c16="http://schemas.microsoft.com/office/drawing/2014/chart" uri="{C3380CC4-5D6E-409C-BE32-E72D297353CC}">
              <c16:uniqueId val="{00000003-4382-47A1-8FA0-DD800B546ED3}"/>
            </c:ext>
          </c:extLst>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7.9852277150642276E-3</c:v>
                </c:pt>
                <c:pt idx="1">
                  <c:v>7.9852277150642276E-3</c:v>
                </c:pt>
                <c:pt idx="2">
                  <c:v>7.9852277150642276E-3</c:v>
                </c:pt>
                <c:pt idx="3">
                  <c:v>7.9852277150642276E-3</c:v>
                </c:pt>
                <c:pt idx="4">
                  <c:v>7.9852277150642276E-3</c:v>
                </c:pt>
                <c:pt idx="5">
                  <c:v>7.9852277150642276E-3</c:v>
                </c:pt>
                <c:pt idx="6">
                  <c:v>7.9852277150642276E-3</c:v>
                </c:pt>
                <c:pt idx="7">
                  <c:v>7.9852277150642276E-3</c:v>
                </c:pt>
                <c:pt idx="8">
                  <c:v>7.9852277150642276E-3</c:v>
                </c:pt>
                <c:pt idx="9">
                  <c:v>7.9852277150642276E-3</c:v>
                </c:pt>
                <c:pt idx="10">
                  <c:v>7.9852277150642276E-3</c:v>
                </c:pt>
                <c:pt idx="11">
                  <c:v>7.9852277150642276E-3</c:v>
                </c:pt>
                <c:pt idx="12">
                  <c:v>7.9852277150642276E-3</c:v>
                </c:pt>
                <c:pt idx="13">
                  <c:v>7.9852277150642276E-3</c:v>
                </c:pt>
                <c:pt idx="14">
                  <c:v>7.9852277150642276E-3</c:v>
                </c:pt>
                <c:pt idx="15">
                  <c:v>7.9852277150642276E-3</c:v>
                </c:pt>
                <c:pt idx="16">
                  <c:v>7.9852277150642276E-3</c:v>
                </c:pt>
                <c:pt idx="17">
                  <c:v>7.9852277150642276E-3</c:v>
                </c:pt>
                <c:pt idx="18">
                  <c:v>7.9852277150642276E-3</c:v>
                </c:pt>
                <c:pt idx="19">
                  <c:v>7.9852277150642276E-3</c:v>
                </c:pt>
                <c:pt idx="20">
                  <c:v>7.9852277150642276E-3</c:v>
                </c:pt>
                <c:pt idx="21">
                  <c:v>7.9852277150642276E-3</c:v>
                </c:pt>
                <c:pt idx="22">
                  <c:v>7.9852277150642276E-3</c:v>
                </c:pt>
                <c:pt idx="23">
                  <c:v>7.9852277150642276E-3</c:v>
                </c:pt>
                <c:pt idx="24">
                  <c:v>7.9852277150642276E-3</c:v>
                </c:pt>
                <c:pt idx="25">
                  <c:v>7.9852277150642276E-3</c:v>
                </c:pt>
                <c:pt idx="26">
                  <c:v>7.9852277150642276E-3</c:v>
                </c:pt>
                <c:pt idx="27">
                  <c:v>7.9852277150642276E-3</c:v>
                </c:pt>
                <c:pt idx="28">
                  <c:v>7.9852277150642276E-3</c:v>
                </c:pt>
                <c:pt idx="29">
                  <c:v>7.9852277150642276E-3</c:v>
                </c:pt>
                <c:pt idx="30">
                  <c:v>7.9852277150642276E-3</c:v>
                </c:pt>
                <c:pt idx="31">
                  <c:v>7.9852277150642276E-3</c:v>
                </c:pt>
                <c:pt idx="32">
                  <c:v>7.9852277150642276E-3</c:v>
                </c:pt>
                <c:pt idx="33">
                  <c:v>7.9852277150642276E-3</c:v>
                </c:pt>
                <c:pt idx="34">
                  <c:v>7.9852277150642276E-3</c:v>
                </c:pt>
                <c:pt idx="35">
                  <c:v>7.9852277150642276E-3</c:v>
                </c:pt>
                <c:pt idx="36">
                  <c:v>7.9852277150642276E-3</c:v>
                </c:pt>
                <c:pt idx="37">
                  <c:v>7.9852277150642276E-3</c:v>
                </c:pt>
                <c:pt idx="38">
                  <c:v>7.9852277150642276E-3</c:v>
                </c:pt>
                <c:pt idx="39">
                  <c:v>7.9852277150642276E-3</c:v>
                </c:pt>
                <c:pt idx="40">
                  <c:v>7.9852277150642276E-3</c:v>
                </c:pt>
                <c:pt idx="41">
                  <c:v>7.9852277150642276E-3</c:v>
                </c:pt>
                <c:pt idx="42">
                  <c:v>7.9852277150642276E-3</c:v>
                </c:pt>
                <c:pt idx="43">
                  <c:v>7.9852277150642276E-3</c:v>
                </c:pt>
                <c:pt idx="44">
                  <c:v>7.9852277150642276E-3</c:v>
                </c:pt>
                <c:pt idx="45">
                  <c:v>7.9852277150642276E-3</c:v>
                </c:pt>
                <c:pt idx="46">
                  <c:v>7.9852277150642276E-3</c:v>
                </c:pt>
                <c:pt idx="47">
                  <c:v>7.9852277150642276E-3</c:v>
                </c:pt>
                <c:pt idx="48">
                  <c:v>7.9852277150642276E-3</c:v>
                </c:pt>
                <c:pt idx="49">
                  <c:v>7.9852277150642276E-3</c:v>
                </c:pt>
                <c:pt idx="50">
                  <c:v>7.9852277150642276E-3</c:v>
                </c:pt>
                <c:pt idx="51">
                  <c:v>7.9852277150642276E-3</c:v>
                </c:pt>
                <c:pt idx="52">
                  <c:v>7.9852277150642276E-3</c:v>
                </c:pt>
                <c:pt idx="53">
                  <c:v>7.9852277150642276E-3</c:v>
                </c:pt>
                <c:pt idx="54">
                  <c:v>7.9852277150642276E-3</c:v>
                </c:pt>
                <c:pt idx="55">
                  <c:v>7.9852277150642276E-3</c:v>
                </c:pt>
                <c:pt idx="56">
                  <c:v>7.9852277150642276E-3</c:v>
                </c:pt>
                <c:pt idx="57">
                  <c:v>7.9852277150642276E-3</c:v>
                </c:pt>
                <c:pt idx="58">
                  <c:v>7.9852277150642276E-3</c:v>
                </c:pt>
                <c:pt idx="59">
                  <c:v>7.9852277150642276E-3</c:v>
                </c:pt>
                <c:pt idx="60">
                  <c:v>7.9852277150642276E-3</c:v>
                </c:pt>
                <c:pt idx="61">
                  <c:v>7.9852277150642276E-3</c:v>
                </c:pt>
                <c:pt idx="62">
                  <c:v>7.9852277150642276E-3</c:v>
                </c:pt>
                <c:pt idx="63">
                  <c:v>7.9852277150642276E-3</c:v>
                </c:pt>
                <c:pt idx="64">
                  <c:v>7.9852277150642276E-3</c:v>
                </c:pt>
                <c:pt idx="65">
                  <c:v>7.9852277150642276E-3</c:v>
                </c:pt>
                <c:pt idx="66">
                  <c:v>7.9852277150642276E-3</c:v>
                </c:pt>
                <c:pt idx="67">
                  <c:v>7.9852277150642276E-3</c:v>
                </c:pt>
                <c:pt idx="68">
                  <c:v>7.9852277150642276E-3</c:v>
                </c:pt>
                <c:pt idx="69">
                  <c:v>7.9852277150642276E-3</c:v>
                </c:pt>
                <c:pt idx="70">
                  <c:v>7.9852277150642276E-3</c:v>
                </c:pt>
                <c:pt idx="71">
                  <c:v>7.9852277150642276E-3</c:v>
                </c:pt>
                <c:pt idx="72">
                  <c:v>7.9852277150642276E-3</c:v>
                </c:pt>
                <c:pt idx="73">
                  <c:v>7.9852277150642276E-3</c:v>
                </c:pt>
                <c:pt idx="74">
                  <c:v>7.9852277150642276E-3</c:v>
                </c:pt>
                <c:pt idx="75">
                  <c:v>7.9852277150642276E-3</c:v>
                </c:pt>
                <c:pt idx="76">
                  <c:v>7.9852277150642276E-3</c:v>
                </c:pt>
                <c:pt idx="77">
                  <c:v>7.9852277150642276E-3</c:v>
                </c:pt>
                <c:pt idx="78">
                  <c:v>7.9852277150642276E-3</c:v>
                </c:pt>
                <c:pt idx="79">
                  <c:v>7.9852277150642276E-3</c:v>
                </c:pt>
                <c:pt idx="80">
                  <c:v>7.9852277150642276E-3</c:v>
                </c:pt>
                <c:pt idx="81">
                  <c:v>7.9852277150642276E-3</c:v>
                </c:pt>
                <c:pt idx="82">
                  <c:v>7.9852277150642276E-3</c:v>
                </c:pt>
                <c:pt idx="83">
                  <c:v>7.9852277150642276E-3</c:v>
                </c:pt>
                <c:pt idx="84">
                  <c:v>7.9852277150642276E-3</c:v>
                </c:pt>
                <c:pt idx="85">
                  <c:v>7.9852277150642276E-3</c:v>
                </c:pt>
                <c:pt idx="86">
                  <c:v>7.9852277150642276E-3</c:v>
                </c:pt>
                <c:pt idx="87">
                  <c:v>7.9852277150642276E-3</c:v>
                </c:pt>
                <c:pt idx="88">
                  <c:v>7.9852277150642276E-3</c:v>
                </c:pt>
                <c:pt idx="89">
                  <c:v>7.9852277150642276E-3</c:v>
                </c:pt>
                <c:pt idx="90">
                  <c:v>7.9852277150642276E-3</c:v>
                </c:pt>
                <c:pt idx="91">
                  <c:v>7.9852277150642276E-3</c:v>
                </c:pt>
                <c:pt idx="92">
                  <c:v>7.9852277150642276E-3</c:v>
                </c:pt>
                <c:pt idx="93">
                  <c:v>7.9852277150642276E-3</c:v>
                </c:pt>
                <c:pt idx="94">
                  <c:v>7.9852277150642276E-3</c:v>
                </c:pt>
                <c:pt idx="95">
                  <c:v>7.9852277150642276E-3</c:v>
                </c:pt>
                <c:pt idx="96">
                  <c:v>7.9852277150642276E-3</c:v>
                </c:pt>
                <c:pt idx="97">
                  <c:v>7.9852277150642276E-3</c:v>
                </c:pt>
                <c:pt idx="98">
                  <c:v>7.9852277150642276E-3</c:v>
                </c:pt>
                <c:pt idx="99">
                  <c:v>7.9852277150642276E-3</c:v>
                </c:pt>
              </c:numCache>
            </c:numRef>
          </c:val>
          <c:smooth val="0"/>
          <c:extLst xmlns:c16r2="http://schemas.microsoft.com/office/drawing/2015/06/chart">
            <c:ext xmlns:c16="http://schemas.microsoft.com/office/drawing/2014/chart" uri="{C3380CC4-5D6E-409C-BE32-E72D297353CC}">
              <c16:uniqueId val="{00000004-4382-47A1-8FA0-DD800B546ED3}"/>
            </c:ext>
          </c:extLst>
        </c:ser>
        <c:dLbls>
          <c:showLegendKey val="0"/>
          <c:showVal val="0"/>
          <c:showCatName val="0"/>
          <c:showSerName val="0"/>
          <c:showPercent val="0"/>
          <c:showBubbleSize val="0"/>
        </c:dLbls>
        <c:marker val="1"/>
        <c:smooth val="0"/>
        <c:axId val="340321920"/>
        <c:axId val="340322480"/>
      </c:lineChart>
      <c:catAx>
        <c:axId val="340321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40322480"/>
        <c:crosses val="autoZero"/>
        <c:auto val="1"/>
        <c:lblAlgn val="ctr"/>
        <c:lblOffset val="500"/>
        <c:tickLblSkip val="5"/>
        <c:noMultiLvlLbl val="0"/>
      </c:catAx>
      <c:valAx>
        <c:axId val="3403224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340321920"/>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546F-408B-95F2-82DA98EDE78F}"/>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99.057208361777725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546F-408B-95F2-82DA98EDE78F}"/>
            </c:ext>
          </c:extLst>
        </c:ser>
        <c:dLbls>
          <c:showLegendKey val="0"/>
          <c:showVal val="0"/>
          <c:showCatName val="0"/>
          <c:showSerName val="0"/>
          <c:showPercent val="0"/>
          <c:showBubbleSize val="0"/>
        </c:dLbls>
        <c:gapWidth val="0"/>
        <c:overlap val="100"/>
        <c:axId val="195394592"/>
        <c:axId val="1956482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138.46648284313724</c:v>
                </c:pt>
                <c:pt idx="1">
                  <c:v>138.46648284313724</c:v>
                </c:pt>
                <c:pt idx="2">
                  <c:v>138.46648284313724</c:v>
                </c:pt>
                <c:pt idx="3">
                  <c:v>138.46648284313724</c:v>
                </c:pt>
                <c:pt idx="4">
                  <c:v>138.46648284313724</c:v>
                </c:pt>
                <c:pt idx="5">
                  <c:v>138.46648284313724</c:v>
                </c:pt>
                <c:pt idx="6">
                  <c:v>138.46648284313724</c:v>
                </c:pt>
                <c:pt idx="7">
                  <c:v>138.46648284313724</c:v>
                </c:pt>
                <c:pt idx="8">
                  <c:v>138.46648284313724</c:v>
                </c:pt>
                <c:pt idx="9">
                  <c:v>138.46648284313724</c:v>
                </c:pt>
                <c:pt idx="10">
                  <c:v>138.46648284313724</c:v>
                </c:pt>
                <c:pt idx="11">
                  <c:v>138.46648284313724</c:v>
                </c:pt>
                <c:pt idx="12">
                  <c:v>138.46648284313724</c:v>
                </c:pt>
                <c:pt idx="13">
                  <c:v>138.46648284313724</c:v>
                </c:pt>
                <c:pt idx="14">
                  <c:v>138.46648284313724</c:v>
                </c:pt>
                <c:pt idx="15">
                  <c:v>138.46648284313724</c:v>
                </c:pt>
                <c:pt idx="16">
                  <c:v>138.46648284313724</c:v>
                </c:pt>
                <c:pt idx="17">
                  <c:v>138.46648284313724</c:v>
                </c:pt>
                <c:pt idx="18">
                  <c:v>138.46648284313724</c:v>
                </c:pt>
                <c:pt idx="19">
                  <c:v>138.46648284313724</c:v>
                </c:pt>
                <c:pt idx="20">
                  <c:v>138.46648284313724</c:v>
                </c:pt>
                <c:pt idx="21">
                  <c:v>138.46648284313724</c:v>
                </c:pt>
                <c:pt idx="22">
                  <c:v>138.46648284313724</c:v>
                </c:pt>
                <c:pt idx="23">
                  <c:v>138.46648284313724</c:v>
                </c:pt>
                <c:pt idx="24">
                  <c:v>138.46648284313724</c:v>
                </c:pt>
                <c:pt idx="25">
                  <c:v>138.46648284313724</c:v>
                </c:pt>
                <c:pt idx="26">
                  <c:v>138.46648284313724</c:v>
                </c:pt>
                <c:pt idx="27">
                  <c:v>138.46648284313724</c:v>
                </c:pt>
                <c:pt idx="28">
                  <c:v>138.46648284313724</c:v>
                </c:pt>
                <c:pt idx="29">
                  <c:v>138.46648284313724</c:v>
                </c:pt>
                <c:pt idx="30">
                  <c:v>138.46648284313724</c:v>
                </c:pt>
                <c:pt idx="31">
                  <c:v>138.46648284313724</c:v>
                </c:pt>
                <c:pt idx="32">
                  <c:v>138.46648284313724</c:v>
                </c:pt>
                <c:pt idx="33">
                  <c:v>138.46648284313724</c:v>
                </c:pt>
                <c:pt idx="34">
                  <c:v>138.46648284313724</c:v>
                </c:pt>
                <c:pt idx="35">
                  <c:v>138.46648284313724</c:v>
                </c:pt>
                <c:pt idx="36">
                  <c:v>138.46648284313724</c:v>
                </c:pt>
                <c:pt idx="37">
                  <c:v>138.46648284313724</c:v>
                </c:pt>
                <c:pt idx="38">
                  <c:v>138.46648284313724</c:v>
                </c:pt>
                <c:pt idx="39">
                  <c:v>138.46648284313724</c:v>
                </c:pt>
                <c:pt idx="40">
                  <c:v>138.46648284313724</c:v>
                </c:pt>
                <c:pt idx="41">
                  <c:v>138.46648284313724</c:v>
                </c:pt>
                <c:pt idx="42">
                  <c:v>138.46648284313724</c:v>
                </c:pt>
                <c:pt idx="43">
                  <c:v>138.46648284313724</c:v>
                </c:pt>
                <c:pt idx="44">
                  <c:v>138.46648284313724</c:v>
                </c:pt>
                <c:pt idx="45">
                  <c:v>138.46648284313724</c:v>
                </c:pt>
                <c:pt idx="46">
                  <c:v>138.46648284313724</c:v>
                </c:pt>
                <c:pt idx="47">
                  <c:v>138.46648284313724</c:v>
                </c:pt>
                <c:pt idx="48">
                  <c:v>138.46648284313724</c:v>
                </c:pt>
                <c:pt idx="49">
                  <c:v>138.46648284313724</c:v>
                </c:pt>
                <c:pt idx="50">
                  <c:v>138.46648284313724</c:v>
                </c:pt>
                <c:pt idx="51">
                  <c:v>138.46648284313724</c:v>
                </c:pt>
                <c:pt idx="52">
                  <c:v>138.46648284313724</c:v>
                </c:pt>
                <c:pt idx="53">
                  <c:v>138.46648284313724</c:v>
                </c:pt>
                <c:pt idx="54">
                  <c:v>138.46648284313724</c:v>
                </c:pt>
                <c:pt idx="55">
                  <c:v>138.46648284313724</c:v>
                </c:pt>
                <c:pt idx="56">
                  <c:v>138.46648284313724</c:v>
                </c:pt>
                <c:pt idx="57">
                  <c:v>138.46648284313724</c:v>
                </c:pt>
                <c:pt idx="58">
                  <c:v>138.46648284313724</c:v>
                </c:pt>
                <c:pt idx="59">
                  <c:v>138.46648284313724</c:v>
                </c:pt>
                <c:pt idx="60">
                  <c:v>138.46648284313724</c:v>
                </c:pt>
                <c:pt idx="61">
                  <c:v>138.46648284313724</c:v>
                </c:pt>
                <c:pt idx="62">
                  <c:v>138.46648284313724</c:v>
                </c:pt>
                <c:pt idx="63">
                  <c:v>138.46648284313724</c:v>
                </c:pt>
                <c:pt idx="64">
                  <c:v>138.46648284313724</c:v>
                </c:pt>
                <c:pt idx="65">
                  <c:v>138.46648284313724</c:v>
                </c:pt>
                <c:pt idx="66">
                  <c:v>138.46648284313724</c:v>
                </c:pt>
                <c:pt idx="67">
                  <c:v>138.46648284313724</c:v>
                </c:pt>
                <c:pt idx="68">
                  <c:v>138.46648284313724</c:v>
                </c:pt>
                <c:pt idx="69">
                  <c:v>138.46648284313724</c:v>
                </c:pt>
                <c:pt idx="70">
                  <c:v>138.46648284313724</c:v>
                </c:pt>
                <c:pt idx="71">
                  <c:v>138.46648284313724</c:v>
                </c:pt>
                <c:pt idx="72">
                  <c:v>138.46648284313724</c:v>
                </c:pt>
                <c:pt idx="73">
                  <c:v>138.46648284313724</c:v>
                </c:pt>
                <c:pt idx="74">
                  <c:v>138.46648284313724</c:v>
                </c:pt>
                <c:pt idx="75">
                  <c:v>138.46648284313724</c:v>
                </c:pt>
                <c:pt idx="76">
                  <c:v>138.46648284313724</c:v>
                </c:pt>
                <c:pt idx="77">
                  <c:v>138.46648284313724</c:v>
                </c:pt>
                <c:pt idx="78">
                  <c:v>138.46648284313724</c:v>
                </c:pt>
                <c:pt idx="79">
                  <c:v>138.46648284313724</c:v>
                </c:pt>
                <c:pt idx="80">
                  <c:v>138.46648284313724</c:v>
                </c:pt>
                <c:pt idx="81">
                  <c:v>138.46648284313724</c:v>
                </c:pt>
                <c:pt idx="82">
                  <c:v>138.46648284313724</c:v>
                </c:pt>
                <c:pt idx="83">
                  <c:v>138.46648284313724</c:v>
                </c:pt>
                <c:pt idx="84">
                  <c:v>138.46648284313724</c:v>
                </c:pt>
                <c:pt idx="85">
                  <c:v>138.46648284313724</c:v>
                </c:pt>
                <c:pt idx="86">
                  <c:v>138.46648284313724</c:v>
                </c:pt>
                <c:pt idx="87">
                  <c:v>138.46648284313724</c:v>
                </c:pt>
                <c:pt idx="88">
                  <c:v>138.46648284313724</c:v>
                </c:pt>
                <c:pt idx="89">
                  <c:v>138.46648284313724</c:v>
                </c:pt>
                <c:pt idx="90">
                  <c:v>138.46648284313724</c:v>
                </c:pt>
                <c:pt idx="91">
                  <c:v>138.46648284313724</c:v>
                </c:pt>
                <c:pt idx="92">
                  <c:v>138.46648284313724</c:v>
                </c:pt>
                <c:pt idx="93">
                  <c:v>138.46648284313724</c:v>
                </c:pt>
                <c:pt idx="94">
                  <c:v>138.46648284313724</c:v>
                </c:pt>
                <c:pt idx="95">
                  <c:v>138.46648284313724</c:v>
                </c:pt>
                <c:pt idx="96">
                  <c:v>138.46648284313724</c:v>
                </c:pt>
                <c:pt idx="97">
                  <c:v>138.46648284313724</c:v>
                </c:pt>
                <c:pt idx="98">
                  <c:v>138.46648284313724</c:v>
                </c:pt>
                <c:pt idx="99">
                  <c:v>138.46648284313724</c:v>
                </c:pt>
              </c:numCache>
            </c:numRef>
          </c:val>
          <c:smooth val="0"/>
          <c:extLst xmlns:c16r2="http://schemas.microsoft.com/office/drawing/2015/06/chart">
            <c:ext xmlns:c16="http://schemas.microsoft.com/office/drawing/2014/chart" uri="{C3380CC4-5D6E-409C-BE32-E72D297353CC}">
              <c16:uniqueId val="{00000002-546F-408B-95F2-82DA98EDE78F}"/>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55.386593137254899</c:v>
                </c:pt>
                <c:pt idx="1">
                  <c:v>55.386593137254899</c:v>
                </c:pt>
                <c:pt idx="2">
                  <c:v>55.386593137254899</c:v>
                </c:pt>
                <c:pt idx="3">
                  <c:v>55.386593137254899</c:v>
                </c:pt>
                <c:pt idx="4">
                  <c:v>55.386593137254899</c:v>
                </c:pt>
                <c:pt idx="5">
                  <c:v>55.386593137254899</c:v>
                </c:pt>
                <c:pt idx="6">
                  <c:v>55.386593137254899</c:v>
                </c:pt>
                <c:pt idx="7">
                  <c:v>55.386593137254899</c:v>
                </c:pt>
                <c:pt idx="8">
                  <c:v>55.386593137254899</c:v>
                </c:pt>
                <c:pt idx="9">
                  <c:v>55.386593137254899</c:v>
                </c:pt>
                <c:pt idx="10">
                  <c:v>55.386593137254899</c:v>
                </c:pt>
                <c:pt idx="11">
                  <c:v>55.386593137254899</c:v>
                </c:pt>
                <c:pt idx="12">
                  <c:v>55.386593137254899</c:v>
                </c:pt>
                <c:pt idx="13">
                  <c:v>55.386593137254899</c:v>
                </c:pt>
                <c:pt idx="14">
                  <c:v>55.386593137254899</c:v>
                </c:pt>
                <c:pt idx="15">
                  <c:v>55.386593137254899</c:v>
                </c:pt>
                <c:pt idx="16">
                  <c:v>55.386593137254899</c:v>
                </c:pt>
                <c:pt idx="17">
                  <c:v>55.386593137254899</c:v>
                </c:pt>
                <c:pt idx="18">
                  <c:v>55.386593137254899</c:v>
                </c:pt>
                <c:pt idx="19">
                  <c:v>55.386593137254899</c:v>
                </c:pt>
                <c:pt idx="20">
                  <c:v>55.386593137254899</c:v>
                </c:pt>
                <c:pt idx="21">
                  <c:v>55.386593137254899</c:v>
                </c:pt>
                <c:pt idx="22">
                  <c:v>55.386593137254899</c:v>
                </c:pt>
                <c:pt idx="23">
                  <c:v>55.386593137254899</c:v>
                </c:pt>
                <c:pt idx="24">
                  <c:v>55.386593137254899</c:v>
                </c:pt>
                <c:pt idx="25">
                  <c:v>55.386593137254899</c:v>
                </c:pt>
                <c:pt idx="26">
                  <c:v>55.386593137254899</c:v>
                </c:pt>
                <c:pt idx="27">
                  <c:v>55.386593137254899</c:v>
                </c:pt>
                <c:pt idx="28">
                  <c:v>55.386593137254899</c:v>
                </c:pt>
                <c:pt idx="29">
                  <c:v>55.386593137254899</c:v>
                </c:pt>
                <c:pt idx="30">
                  <c:v>55.386593137254899</c:v>
                </c:pt>
                <c:pt idx="31">
                  <c:v>55.386593137254899</c:v>
                </c:pt>
                <c:pt idx="32">
                  <c:v>55.386593137254899</c:v>
                </c:pt>
                <c:pt idx="33">
                  <c:v>55.386593137254899</c:v>
                </c:pt>
                <c:pt idx="34">
                  <c:v>55.386593137254899</c:v>
                </c:pt>
                <c:pt idx="35">
                  <c:v>55.386593137254899</c:v>
                </c:pt>
                <c:pt idx="36">
                  <c:v>55.386593137254899</c:v>
                </c:pt>
                <c:pt idx="37">
                  <c:v>55.386593137254899</c:v>
                </c:pt>
                <c:pt idx="38">
                  <c:v>55.386593137254899</c:v>
                </c:pt>
                <c:pt idx="39">
                  <c:v>55.386593137254899</c:v>
                </c:pt>
                <c:pt idx="40">
                  <c:v>55.386593137254899</c:v>
                </c:pt>
                <c:pt idx="41">
                  <c:v>55.386593137254899</c:v>
                </c:pt>
                <c:pt idx="42">
                  <c:v>55.386593137254899</c:v>
                </c:pt>
                <c:pt idx="43">
                  <c:v>55.386593137254899</c:v>
                </c:pt>
                <c:pt idx="44">
                  <c:v>55.386593137254899</c:v>
                </c:pt>
                <c:pt idx="45">
                  <c:v>55.386593137254899</c:v>
                </c:pt>
                <c:pt idx="46">
                  <c:v>55.386593137254899</c:v>
                </c:pt>
                <c:pt idx="47">
                  <c:v>55.386593137254899</c:v>
                </c:pt>
                <c:pt idx="48">
                  <c:v>55.386593137254899</c:v>
                </c:pt>
                <c:pt idx="49">
                  <c:v>55.386593137254899</c:v>
                </c:pt>
                <c:pt idx="50">
                  <c:v>55.386593137254899</c:v>
                </c:pt>
                <c:pt idx="51">
                  <c:v>55.386593137254899</c:v>
                </c:pt>
                <c:pt idx="52">
                  <c:v>55.386593137254899</c:v>
                </c:pt>
                <c:pt idx="53">
                  <c:v>55.386593137254899</c:v>
                </c:pt>
                <c:pt idx="54">
                  <c:v>55.386593137254899</c:v>
                </c:pt>
                <c:pt idx="55">
                  <c:v>55.386593137254899</c:v>
                </c:pt>
                <c:pt idx="56">
                  <c:v>55.386593137254899</c:v>
                </c:pt>
                <c:pt idx="57">
                  <c:v>55.386593137254899</c:v>
                </c:pt>
                <c:pt idx="58">
                  <c:v>55.386593137254899</c:v>
                </c:pt>
                <c:pt idx="59">
                  <c:v>55.386593137254899</c:v>
                </c:pt>
                <c:pt idx="60">
                  <c:v>55.386593137254899</c:v>
                </c:pt>
                <c:pt idx="61">
                  <c:v>55.386593137254899</c:v>
                </c:pt>
                <c:pt idx="62">
                  <c:v>55.386593137254899</c:v>
                </c:pt>
                <c:pt idx="63">
                  <c:v>55.386593137254899</c:v>
                </c:pt>
                <c:pt idx="64">
                  <c:v>55.386593137254899</c:v>
                </c:pt>
                <c:pt idx="65">
                  <c:v>55.386593137254899</c:v>
                </c:pt>
                <c:pt idx="66">
                  <c:v>55.386593137254899</c:v>
                </c:pt>
                <c:pt idx="67">
                  <c:v>55.386593137254899</c:v>
                </c:pt>
                <c:pt idx="68">
                  <c:v>55.386593137254899</c:v>
                </c:pt>
                <c:pt idx="69">
                  <c:v>55.386593137254899</c:v>
                </c:pt>
                <c:pt idx="70">
                  <c:v>55.386593137254899</c:v>
                </c:pt>
                <c:pt idx="71">
                  <c:v>55.386593137254899</c:v>
                </c:pt>
                <c:pt idx="72">
                  <c:v>55.386593137254899</c:v>
                </c:pt>
                <c:pt idx="73">
                  <c:v>55.386593137254899</c:v>
                </c:pt>
                <c:pt idx="74">
                  <c:v>55.386593137254899</c:v>
                </c:pt>
                <c:pt idx="75">
                  <c:v>55.386593137254899</c:v>
                </c:pt>
                <c:pt idx="76">
                  <c:v>55.386593137254899</c:v>
                </c:pt>
                <c:pt idx="77">
                  <c:v>55.386593137254899</c:v>
                </c:pt>
                <c:pt idx="78">
                  <c:v>55.386593137254899</c:v>
                </c:pt>
                <c:pt idx="79">
                  <c:v>55.386593137254899</c:v>
                </c:pt>
                <c:pt idx="80">
                  <c:v>55.386593137254899</c:v>
                </c:pt>
                <c:pt idx="81">
                  <c:v>55.386593137254899</c:v>
                </c:pt>
                <c:pt idx="82">
                  <c:v>55.386593137254899</c:v>
                </c:pt>
                <c:pt idx="83">
                  <c:v>55.386593137254899</c:v>
                </c:pt>
                <c:pt idx="84">
                  <c:v>55.386593137254899</c:v>
                </c:pt>
                <c:pt idx="85">
                  <c:v>55.386593137254899</c:v>
                </c:pt>
                <c:pt idx="86">
                  <c:v>55.386593137254899</c:v>
                </c:pt>
                <c:pt idx="87">
                  <c:v>55.386593137254899</c:v>
                </c:pt>
                <c:pt idx="88">
                  <c:v>55.386593137254899</c:v>
                </c:pt>
                <c:pt idx="89">
                  <c:v>55.386593137254899</c:v>
                </c:pt>
                <c:pt idx="90">
                  <c:v>55.386593137254899</c:v>
                </c:pt>
                <c:pt idx="91">
                  <c:v>55.386593137254899</c:v>
                </c:pt>
                <c:pt idx="92">
                  <c:v>55.386593137254899</c:v>
                </c:pt>
                <c:pt idx="93">
                  <c:v>55.386593137254899</c:v>
                </c:pt>
                <c:pt idx="94">
                  <c:v>55.386593137254899</c:v>
                </c:pt>
                <c:pt idx="95">
                  <c:v>55.386593137254899</c:v>
                </c:pt>
                <c:pt idx="96">
                  <c:v>55.386593137254899</c:v>
                </c:pt>
                <c:pt idx="97">
                  <c:v>55.386593137254899</c:v>
                </c:pt>
                <c:pt idx="98">
                  <c:v>55.386593137254899</c:v>
                </c:pt>
                <c:pt idx="99">
                  <c:v>55.386593137254899</c:v>
                </c:pt>
              </c:numCache>
            </c:numRef>
          </c:val>
          <c:smooth val="0"/>
          <c:extLst xmlns:c16r2="http://schemas.microsoft.com/office/drawing/2015/06/chart">
            <c:ext xmlns:c16="http://schemas.microsoft.com/office/drawing/2014/chart" uri="{C3380CC4-5D6E-409C-BE32-E72D297353CC}">
              <c16:uniqueId val="{00000003-546F-408B-95F2-82DA98EDE78F}"/>
            </c:ext>
          </c:extLst>
        </c:ser>
        <c:dLbls>
          <c:showLegendKey val="0"/>
          <c:showVal val="0"/>
          <c:showCatName val="0"/>
          <c:showSerName val="0"/>
          <c:showPercent val="0"/>
          <c:showBubbleSize val="0"/>
        </c:dLbls>
        <c:marker val="1"/>
        <c:smooth val="0"/>
        <c:axId val="195394592"/>
        <c:axId val="195648208"/>
      </c:lineChart>
      <c:catAx>
        <c:axId val="1953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5648208"/>
        <c:crosses val="autoZero"/>
        <c:auto val="1"/>
        <c:lblAlgn val="ctr"/>
        <c:lblOffset val="500"/>
        <c:tickLblSkip val="5"/>
        <c:noMultiLvlLbl val="0"/>
      </c:catAx>
      <c:valAx>
        <c:axId val="1956482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539459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8A5D-47F0-8EE8-FBD9F721B795}"/>
            </c:ext>
          </c:extLst>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99.075038659282839</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8A5D-47F0-8EE8-FBD9F721B795}"/>
            </c:ext>
          </c:extLst>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99.075038659282839</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8A5D-47F0-8EE8-FBD9F721B795}"/>
            </c:ext>
          </c:extLst>
        </c:ser>
        <c:dLbls>
          <c:showLegendKey val="0"/>
          <c:showVal val="0"/>
          <c:showCatName val="0"/>
          <c:showSerName val="0"/>
          <c:showPercent val="0"/>
          <c:showBubbleSize val="0"/>
        </c:dLbls>
        <c:gapWidth val="0"/>
        <c:overlap val="100"/>
        <c:axId val="340327520"/>
        <c:axId val="34032808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137.15287254901961</c:v>
                </c:pt>
                <c:pt idx="1">
                  <c:v>137.15287254901961</c:v>
                </c:pt>
                <c:pt idx="2">
                  <c:v>137.15287254901961</c:v>
                </c:pt>
                <c:pt idx="3">
                  <c:v>137.15287254901961</c:v>
                </c:pt>
                <c:pt idx="4">
                  <c:v>137.15287254901961</c:v>
                </c:pt>
                <c:pt idx="5">
                  <c:v>137.15287254901961</c:v>
                </c:pt>
                <c:pt idx="6">
                  <c:v>137.15287254901961</c:v>
                </c:pt>
                <c:pt idx="7">
                  <c:v>137.15287254901961</c:v>
                </c:pt>
                <c:pt idx="8">
                  <c:v>137.15287254901961</c:v>
                </c:pt>
                <c:pt idx="9">
                  <c:v>137.15287254901961</c:v>
                </c:pt>
                <c:pt idx="10">
                  <c:v>137.15287254901961</c:v>
                </c:pt>
                <c:pt idx="11">
                  <c:v>137.15287254901961</c:v>
                </c:pt>
                <c:pt idx="12">
                  <c:v>137.15287254901961</c:v>
                </c:pt>
                <c:pt idx="13">
                  <c:v>137.15287254901961</c:v>
                </c:pt>
                <c:pt idx="14">
                  <c:v>137.15287254901961</c:v>
                </c:pt>
                <c:pt idx="15">
                  <c:v>137.15287254901961</c:v>
                </c:pt>
                <c:pt idx="16">
                  <c:v>137.15287254901961</c:v>
                </c:pt>
                <c:pt idx="17">
                  <c:v>137.15287254901961</c:v>
                </c:pt>
                <c:pt idx="18">
                  <c:v>137.15287254901961</c:v>
                </c:pt>
                <c:pt idx="19">
                  <c:v>137.15287254901961</c:v>
                </c:pt>
                <c:pt idx="20">
                  <c:v>137.15287254901961</c:v>
                </c:pt>
                <c:pt idx="21">
                  <c:v>137.15287254901961</c:v>
                </c:pt>
                <c:pt idx="22">
                  <c:v>137.15287254901961</c:v>
                </c:pt>
                <c:pt idx="23">
                  <c:v>137.15287254901961</c:v>
                </c:pt>
                <c:pt idx="24">
                  <c:v>137.15287254901961</c:v>
                </c:pt>
                <c:pt idx="25">
                  <c:v>137.15287254901961</c:v>
                </c:pt>
                <c:pt idx="26">
                  <c:v>137.15287254901961</c:v>
                </c:pt>
                <c:pt idx="27">
                  <c:v>137.15287254901961</c:v>
                </c:pt>
                <c:pt idx="28">
                  <c:v>137.15287254901961</c:v>
                </c:pt>
                <c:pt idx="29">
                  <c:v>137.15287254901961</c:v>
                </c:pt>
                <c:pt idx="30">
                  <c:v>137.15287254901961</c:v>
                </c:pt>
                <c:pt idx="31">
                  <c:v>137.15287254901961</c:v>
                </c:pt>
                <c:pt idx="32">
                  <c:v>137.15287254901961</c:v>
                </c:pt>
                <c:pt idx="33">
                  <c:v>137.15287254901961</c:v>
                </c:pt>
                <c:pt idx="34">
                  <c:v>137.15287254901961</c:v>
                </c:pt>
                <c:pt idx="35">
                  <c:v>137.15287254901961</c:v>
                </c:pt>
                <c:pt idx="36">
                  <c:v>137.15287254901961</c:v>
                </c:pt>
                <c:pt idx="37">
                  <c:v>137.15287254901961</c:v>
                </c:pt>
                <c:pt idx="38">
                  <c:v>137.15287254901961</c:v>
                </c:pt>
                <c:pt idx="39">
                  <c:v>137.15287254901961</c:v>
                </c:pt>
                <c:pt idx="40">
                  <c:v>137.15287254901961</c:v>
                </c:pt>
                <c:pt idx="41">
                  <c:v>137.15287254901961</c:v>
                </c:pt>
                <c:pt idx="42">
                  <c:v>137.15287254901961</c:v>
                </c:pt>
                <c:pt idx="43">
                  <c:v>137.15287254901961</c:v>
                </c:pt>
                <c:pt idx="44">
                  <c:v>137.15287254901961</c:v>
                </c:pt>
                <c:pt idx="45">
                  <c:v>137.15287254901961</c:v>
                </c:pt>
                <c:pt idx="46">
                  <c:v>137.15287254901961</c:v>
                </c:pt>
                <c:pt idx="47">
                  <c:v>137.15287254901961</c:v>
                </c:pt>
                <c:pt idx="48">
                  <c:v>137.15287254901961</c:v>
                </c:pt>
                <c:pt idx="49">
                  <c:v>137.15287254901961</c:v>
                </c:pt>
                <c:pt idx="50">
                  <c:v>137.15287254901961</c:v>
                </c:pt>
                <c:pt idx="51">
                  <c:v>137.15287254901961</c:v>
                </c:pt>
                <c:pt idx="52">
                  <c:v>137.15287254901961</c:v>
                </c:pt>
                <c:pt idx="53">
                  <c:v>137.15287254901961</c:v>
                </c:pt>
                <c:pt idx="54">
                  <c:v>137.15287254901961</c:v>
                </c:pt>
                <c:pt idx="55">
                  <c:v>137.15287254901961</c:v>
                </c:pt>
                <c:pt idx="56">
                  <c:v>137.15287254901961</c:v>
                </c:pt>
                <c:pt idx="57">
                  <c:v>137.15287254901961</c:v>
                </c:pt>
                <c:pt idx="58">
                  <c:v>137.15287254901961</c:v>
                </c:pt>
                <c:pt idx="59">
                  <c:v>137.15287254901961</c:v>
                </c:pt>
                <c:pt idx="60">
                  <c:v>137.15287254901961</c:v>
                </c:pt>
                <c:pt idx="61">
                  <c:v>137.15287254901961</c:v>
                </c:pt>
                <c:pt idx="62">
                  <c:v>137.15287254901961</c:v>
                </c:pt>
                <c:pt idx="63">
                  <c:v>137.15287254901961</c:v>
                </c:pt>
                <c:pt idx="64">
                  <c:v>137.15287254901961</c:v>
                </c:pt>
                <c:pt idx="65">
                  <c:v>137.15287254901961</c:v>
                </c:pt>
                <c:pt idx="66">
                  <c:v>137.15287254901961</c:v>
                </c:pt>
                <c:pt idx="67">
                  <c:v>137.15287254901961</c:v>
                </c:pt>
                <c:pt idx="68">
                  <c:v>137.15287254901961</c:v>
                </c:pt>
                <c:pt idx="69">
                  <c:v>137.15287254901961</c:v>
                </c:pt>
                <c:pt idx="70">
                  <c:v>137.15287254901961</c:v>
                </c:pt>
                <c:pt idx="71">
                  <c:v>137.15287254901961</c:v>
                </c:pt>
                <c:pt idx="72">
                  <c:v>137.15287254901961</c:v>
                </c:pt>
                <c:pt idx="73">
                  <c:v>137.15287254901961</c:v>
                </c:pt>
                <c:pt idx="74">
                  <c:v>137.15287254901961</c:v>
                </c:pt>
                <c:pt idx="75">
                  <c:v>137.15287254901961</c:v>
                </c:pt>
                <c:pt idx="76">
                  <c:v>137.15287254901961</c:v>
                </c:pt>
                <c:pt idx="77">
                  <c:v>137.15287254901961</c:v>
                </c:pt>
                <c:pt idx="78">
                  <c:v>137.15287254901961</c:v>
                </c:pt>
                <c:pt idx="79">
                  <c:v>137.15287254901961</c:v>
                </c:pt>
                <c:pt idx="80">
                  <c:v>137.15287254901961</c:v>
                </c:pt>
                <c:pt idx="81">
                  <c:v>137.15287254901961</c:v>
                </c:pt>
                <c:pt idx="82">
                  <c:v>137.15287254901961</c:v>
                </c:pt>
                <c:pt idx="83">
                  <c:v>137.15287254901961</c:v>
                </c:pt>
                <c:pt idx="84">
                  <c:v>137.15287254901961</c:v>
                </c:pt>
                <c:pt idx="85">
                  <c:v>137.15287254901961</c:v>
                </c:pt>
                <c:pt idx="86">
                  <c:v>137.15287254901961</c:v>
                </c:pt>
                <c:pt idx="87">
                  <c:v>137.15287254901961</c:v>
                </c:pt>
                <c:pt idx="88">
                  <c:v>137.15287254901961</c:v>
                </c:pt>
                <c:pt idx="89">
                  <c:v>137.15287254901961</c:v>
                </c:pt>
                <c:pt idx="90">
                  <c:v>137.15287254901961</c:v>
                </c:pt>
                <c:pt idx="91">
                  <c:v>137.15287254901961</c:v>
                </c:pt>
                <c:pt idx="92">
                  <c:v>137.15287254901961</c:v>
                </c:pt>
                <c:pt idx="93">
                  <c:v>137.15287254901961</c:v>
                </c:pt>
                <c:pt idx="94">
                  <c:v>137.15287254901961</c:v>
                </c:pt>
                <c:pt idx="95">
                  <c:v>137.15287254901961</c:v>
                </c:pt>
                <c:pt idx="96">
                  <c:v>137.15287254901961</c:v>
                </c:pt>
                <c:pt idx="97">
                  <c:v>137.15287254901961</c:v>
                </c:pt>
                <c:pt idx="98">
                  <c:v>137.15287254901961</c:v>
                </c:pt>
                <c:pt idx="99">
                  <c:v>137.15287254901961</c:v>
                </c:pt>
              </c:numCache>
            </c:numRef>
          </c:val>
          <c:smooth val="0"/>
          <c:extLst xmlns:c16r2="http://schemas.microsoft.com/office/drawing/2015/06/chart">
            <c:ext xmlns:c16="http://schemas.microsoft.com/office/drawing/2014/chart" uri="{C3380CC4-5D6E-409C-BE32-E72D297353CC}">
              <c16:uniqueId val="{00000003-8A5D-47F0-8EE8-FBD9F721B795}"/>
            </c:ext>
          </c:extLst>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54.861149019607844</c:v>
                </c:pt>
                <c:pt idx="1">
                  <c:v>54.861149019607844</c:v>
                </c:pt>
                <c:pt idx="2">
                  <c:v>54.861149019607844</c:v>
                </c:pt>
                <c:pt idx="3">
                  <c:v>54.861149019607844</c:v>
                </c:pt>
                <c:pt idx="4">
                  <c:v>54.861149019607844</c:v>
                </c:pt>
                <c:pt idx="5">
                  <c:v>54.861149019607844</c:v>
                </c:pt>
                <c:pt idx="6">
                  <c:v>54.861149019607844</c:v>
                </c:pt>
                <c:pt idx="7">
                  <c:v>54.861149019607844</c:v>
                </c:pt>
                <c:pt idx="8">
                  <c:v>54.861149019607844</c:v>
                </c:pt>
                <c:pt idx="9">
                  <c:v>54.861149019607844</c:v>
                </c:pt>
                <c:pt idx="10">
                  <c:v>54.861149019607844</c:v>
                </c:pt>
                <c:pt idx="11">
                  <c:v>54.861149019607844</c:v>
                </c:pt>
                <c:pt idx="12">
                  <c:v>54.861149019607844</c:v>
                </c:pt>
                <c:pt idx="13">
                  <c:v>54.861149019607844</c:v>
                </c:pt>
                <c:pt idx="14">
                  <c:v>54.861149019607844</c:v>
                </c:pt>
                <c:pt idx="15">
                  <c:v>54.861149019607844</c:v>
                </c:pt>
                <c:pt idx="16">
                  <c:v>54.861149019607844</c:v>
                </c:pt>
                <c:pt idx="17">
                  <c:v>54.861149019607844</c:v>
                </c:pt>
                <c:pt idx="18">
                  <c:v>54.861149019607844</c:v>
                </c:pt>
                <c:pt idx="19">
                  <c:v>54.861149019607844</c:v>
                </c:pt>
                <c:pt idx="20">
                  <c:v>54.861149019607844</c:v>
                </c:pt>
                <c:pt idx="21">
                  <c:v>54.861149019607844</c:v>
                </c:pt>
                <c:pt idx="22">
                  <c:v>54.861149019607844</c:v>
                </c:pt>
                <c:pt idx="23">
                  <c:v>54.861149019607844</c:v>
                </c:pt>
                <c:pt idx="24">
                  <c:v>54.861149019607844</c:v>
                </c:pt>
                <c:pt idx="25">
                  <c:v>54.861149019607844</c:v>
                </c:pt>
                <c:pt idx="26">
                  <c:v>54.861149019607844</c:v>
                </c:pt>
                <c:pt idx="27">
                  <c:v>54.861149019607844</c:v>
                </c:pt>
                <c:pt idx="28">
                  <c:v>54.861149019607844</c:v>
                </c:pt>
                <c:pt idx="29">
                  <c:v>54.861149019607844</c:v>
                </c:pt>
                <c:pt idx="30">
                  <c:v>54.861149019607844</c:v>
                </c:pt>
                <c:pt idx="31">
                  <c:v>54.861149019607844</c:v>
                </c:pt>
                <c:pt idx="32">
                  <c:v>54.861149019607844</c:v>
                </c:pt>
                <c:pt idx="33">
                  <c:v>54.861149019607844</c:v>
                </c:pt>
                <c:pt idx="34">
                  <c:v>54.861149019607844</c:v>
                </c:pt>
                <c:pt idx="35">
                  <c:v>54.861149019607844</c:v>
                </c:pt>
                <c:pt idx="36">
                  <c:v>54.861149019607844</c:v>
                </c:pt>
                <c:pt idx="37">
                  <c:v>54.861149019607844</c:v>
                </c:pt>
                <c:pt idx="38">
                  <c:v>54.861149019607844</c:v>
                </c:pt>
                <c:pt idx="39">
                  <c:v>54.861149019607844</c:v>
                </c:pt>
                <c:pt idx="40">
                  <c:v>54.861149019607844</c:v>
                </c:pt>
                <c:pt idx="41">
                  <c:v>54.861149019607844</c:v>
                </c:pt>
                <c:pt idx="42">
                  <c:v>54.861149019607844</c:v>
                </c:pt>
                <c:pt idx="43">
                  <c:v>54.861149019607844</c:v>
                </c:pt>
                <c:pt idx="44">
                  <c:v>54.861149019607844</c:v>
                </c:pt>
                <c:pt idx="45">
                  <c:v>54.861149019607844</c:v>
                </c:pt>
                <c:pt idx="46">
                  <c:v>54.861149019607844</c:v>
                </c:pt>
                <c:pt idx="47">
                  <c:v>54.861149019607844</c:v>
                </c:pt>
                <c:pt idx="48">
                  <c:v>54.861149019607844</c:v>
                </c:pt>
                <c:pt idx="49">
                  <c:v>54.861149019607844</c:v>
                </c:pt>
                <c:pt idx="50">
                  <c:v>54.861149019607844</c:v>
                </c:pt>
                <c:pt idx="51">
                  <c:v>54.861149019607844</c:v>
                </c:pt>
                <c:pt idx="52">
                  <c:v>54.861149019607844</c:v>
                </c:pt>
                <c:pt idx="53">
                  <c:v>54.861149019607844</c:v>
                </c:pt>
                <c:pt idx="54">
                  <c:v>54.861149019607844</c:v>
                </c:pt>
                <c:pt idx="55">
                  <c:v>54.861149019607844</c:v>
                </c:pt>
                <c:pt idx="56">
                  <c:v>54.861149019607844</c:v>
                </c:pt>
                <c:pt idx="57">
                  <c:v>54.861149019607844</c:v>
                </c:pt>
                <c:pt idx="58">
                  <c:v>54.861149019607844</c:v>
                </c:pt>
                <c:pt idx="59">
                  <c:v>54.861149019607844</c:v>
                </c:pt>
                <c:pt idx="60">
                  <c:v>54.861149019607844</c:v>
                </c:pt>
                <c:pt idx="61">
                  <c:v>54.861149019607844</c:v>
                </c:pt>
                <c:pt idx="62">
                  <c:v>54.861149019607844</c:v>
                </c:pt>
                <c:pt idx="63">
                  <c:v>54.861149019607844</c:v>
                </c:pt>
                <c:pt idx="64">
                  <c:v>54.861149019607844</c:v>
                </c:pt>
                <c:pt idx="65">
                  <c:v>54.861149019607844</c:v>
                </c:pt>
                <c:pt idx="66">
                  <c:v>54.861149019607844</c:v>
                </c:pt>
                <c:pt idx="67">
                  <c:v>54.861149019607844</c:v>
                </c:pt>
                <c:pt idx="68">
                  <c:v>54.861149019607844</c:v>
                </c:pt>
                <c:pt idx="69">
                  <c:v>54.861149019607844</c:v>
                </c:pt>
                <c:pt idx="70">
                  <c:v>54.861149019607844</c:v>
                </c:pt>
                <c:pt idx="71">
                  <c:v>54.861149019607844</c:v>
                </c:pt>
                <c:pt idx="72">
                  <c:v>54.861149019607844</c:v>
                </c:pt>
                <c:pt idx="73">
                  <c:v>54.861149019607844</c:v>
                </c:pt>
                <c:pt idx="74">
                  <c:v>54.861149019607844</c:v>
                </c:pt>
                <c:pt idx="75">
                  <c:v>54.861149019607844</c:v>
                </c:pt>
                <c:pt idx="76">
                  <c:v>54.861149019607844</c:v>
                </c:pt>
                <c:pt idx="77">
                  <c:v>54.861149019607844</c:v>
                </c:pt>
                <c:pt idx="78">
                  <c:v>54.861149019607844</c:v>
                </c:pt>
                <c:pt idx="79">
                  <c:v>54.861149019607844</c:v>
                </c:pt>
                <c:pt idx="80">
                  <c:v>54.861149019607844</c:v>
                </c:pt>
                <c:pt idx="81">
                  <c:v>54.861149019607844</c:v>
                </c:pt>
                <c:pt idx="82">
                  <c:v>54.861149019607844</c:v>
                </c:pt>
                <c:pt idx="83">
                  <c:v>54.861149019607844</c:v>
                </c:pt>
                <c:pt idx="84">
                  <c:v>54.861149019607844</c:v>
                </c:pt>
                <c:pt idx="85">
                  <c:v>54.861149019607844</c:v>
                </c:pt>
                <c:pt idx="86">
                  <c:v>54.861149019607844</c:v>
                </c:pt>
                <c:pt idx="87">
                  <c:v>54.861149019607844</c:v>
                </c:pt>
                <c:pt idx="88">
                  <c:v>54.861149019607844</c:v>
                </c:pt>
                <c:pt idx="89">
                  <c:v>54.861149019607844</c:v>
                </c:pt>
                <c:pt idx="90">
                  <c:v>54.861149019607844</c:v>
                </c:pt>
                <c:pt idx="91">
                  <c:v>54.861149019607844</c:v>
                </c:pt>
                <c:pt idx="92">
                  <c:v>54.861149019607844</c:v>
                </c:pt>
                <c:pt idx="93">
                  <c:v>54.861149019607844</c:v>
                </c:pt>
                <c:pt idx="94">
                  <c:v>54.861149019607844</c:v>
                </c:pt>
                <c:pt idx="95">
                  <c:v>54.861149019607844</c:v>
                </c:pt>
                <c:pt idx="96">
                  <c:v>54.861149019607844</c:v>
                </c:pt>
                <c:pt idx="97">
                  <c:v>54.861149019607844</c:v>
                </c:pt>
                <c:pt idx="98">
                  <c:v>54.861149019607844</c:v>
                </c:pt>
                <c:pt idx="99">
                  <c:v>54.861149019607844</c:v>
                </c:pt>
              </c:numCache>
            </c:numRef>
          </c:val>
          <c:smooth val="0"/>
          <c:extLst xmlns:c16r2="http://schemas.microsoft.com/office/drawing/2015/06/chart">
            <c:ext xmlns:c16="http://schemas.microsoft.com/office/drawing/2014/chart" uri="{C3380CC4-5D6E-409C-BE32-E72D297353CC}">
              <c16:uniqueId val="{00000004-8A5D-47F0-8EE8-FBD9F721B795}"/>
            </c:ext>
          </c:extLst>
        </c:ser>
        <c:dLbls>
          <c:showLegendKey val="0"/>
          <c:showVal val="0"/>
          <c:showCatName val="0"/>
          <c:showSerName val="0"/>
          <c:showPercent val="0"/>
          <c:showBubbleSize val="0"/>
        </c:dLbls>
        <c:marker val="1"/>
        <c:smooth val="0"/>
        <c:axId val="340327520"/>
        <c:axId val="340328080"/>
      </c:lineChart>
      <c:catAx>
        <c:axId val="34032752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40328080"/>
        <c:crosses val="autoZero"/>
        <c:auto val="1"/>
        <c:lblAlgn val="ctr"/>
        <c:lblOffset val="500"/>
        <c:tickLblSkip val="5"/>
        <c:noMultiLvlLbl val="0"/>
      </c:catAx>
      <c:valAx>
        <c:axId val="3403280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40327520"/>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0-EE14-4838-880A-D02619F80E04}"/>
            </c:ext>
            <c:ext xmlns:c15="http://schemas.microsoft.com/office/drawing/2012/chart" uri="{02D57815-91ED-43cb-92C2-25804820EDAC}">
              <c15:filteredCategoryTitle>
                <c15:cat>
                  <c:strRef>
                    <c:extLst xmlns:c16r2="http://schemas.microsoft.com/office/drawing/2015/06/chart">
                      <c:ext uri="{02D57815-91ED-43cb-92C2-25804820EDAC}">
                        <c15:formulaRef>
                          <c15:sqref>'Экономический расчет'!$O$5:$O$29</c15:sqref>
                        </c15:formulaRef>
                      </c:ext>
                    </c:extLst>
                    <c:strCache>
                      <c:ptCount val="9"/>
                      <c:pt idx="8">
                        <c:v>Установка узлов управления</c:v>
                      </c:pt>
                    </c:strCache>
                  </c:strRef>
                </c15:cat>
              </c15:filteredCategoryTitle>
            </c:ext>
          </c:extLst>
        </c:ser>
        <c:dLbls>
          <c:showLegendKey val="0"/>
          <c:showVal val="0"/>
          <c:showCatName val="0"/>
          <c:showSerName val="0"/>
          <c:showPercent val="0"/>
          <c:showBubbleSize val="0"/>
        </c:dLbls>
        <c:gapWidth val="182"/>
        <c:axId val="340650992"/>
        <c:axId val="340651552"/>
      </c:barChart>
      <c:catAx>
        <c:axId val="340650992"/>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340651552"/>
        <c:crosses val="autoZero"/>
        <c:auto val="0"/>
        <c:lblAlgn val="ctr"/>
        <c:lblOffset val="100"/>
        <c:noMultiLvlLbl val="0"/>
      </c:catAx>
      <c:valAx>
        <c:axId val="340651552"/>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340650992"/>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643.79806900918004</c:v>
                </c:pt>
                <c:pt idx="1">
                  <c:v>307.52</c:v>
                </c:pt>
                <c:pt idx="2">
                  <c:v>581.49503007280794</c:v>
                </c:pt>
                <c:pt idx="3">
                  <c:v>261.94</c:v>
                </c:pt>
                <c:pt idx="4">
                  <c:v>643.79806900918004</c:v>
                </c:pt>
                <c:pt idx="5">
                  <c:v>362.03</c:v>
                </c:pt>
                <c:pt idx="6">
                  <c:v>623.03038936372275</c:v>
                </c:pt>
                <c:pt idx="7">
                  <c:v>345.65</c:v>
                </c:pt>
                <c:pt idx="8">
                  <c:v>579.41826210826207</c:v>
                </c:pt>
                <c:pt idx="9">
                  <c:v>272.89</c:v>
                </c:pt>
                <c:pt idx="10">
                  <c:v>560.72735042735042</c:v>
                </c:pt>
                <c:pt idx="11">
                  <c:v>166.56</c:v>
                </c:pt>
                <c:pt idx="12">
                  <c:v>355.12732193732194</c:v>
                </c:pt>
                <c:pt idx="13">
                  <c:v>120.38</c:v>
                </c:pt>
                <c:pt idx="14">
                  <c:v>579.41826210826207</c:v>
                </c:pt>
                <c:pt idx="15">
                  <c:v>126.81</c:v>
                </c:pt>
                <c:pt idx="16">
                  <c:v>560.72735042735042</c:v>
                </c:pt>
                <c:pt idx="17">
                  <c:v>299.12</c:v>
                </c:pt>
                <c:pt idx="18">
                  <c:v>643.79806900918004</c:v>
                </c:pt>
                <c:pt idx="19">
                  <c:v>306.26</c:v>
                </c:pt>
                <c:pt idx="20">
                  <c:v>623.03038936372275</c:v>
                </c:pt>
                <c:pt idx="21">
                  <c:v>281.98</c:v>
                </c:pt>
                <c:pt idx="22">
                  <c:v>643.79806900918004</c:v>
                </c:pt>
                <c:pt idx="23">
                  <c:v>305.20999999999998</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340654352"/>
        <c:axId val="340654912"/>
      </c:barChart>
      <c:catAx>
        <c:axId val="340654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340654912"/>
        <c:crosses val="autoZero"/>
        <c:auto val="1"/>
        <c:lblAlgn val="ctr"/>
        <c:lblOffset val="100"/>
        <c:noMultiLvlLbl val="0"/>
      </c:catAx>
      <c:valAx>
        <c:axId val="340654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4065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1412597.0689233383</c:v>
                </c:pt>
                <c:pt idx="1">
                  <c:v>877099.59425242513</c:v>
                </c:pt>
                <c:pt idx="2">
                  <c:v>51454</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1483592.58</c:v>
                </c:pt>
                <c:pt idx="1">
                  <c:v>749611.64999999991</c:v>
                </c:pt>
                <c:pt idx="2">
                  <c:v>16816</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1101873.8205456617</c:v>
                </c:pt>
                <c:pt idx="1">
                  <c:v>372965.74147477641</c:v>
                </c:pt>
                <c:pt idx="2">
                  <c:v>116636.45523220234</c:v>
                </c:pt>
                <c:pt idx="3" formatCode="0.0">
                  <c:v>178878.94832930228</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F267-4DC8-AEC9-94AAB9CAB5A0}"/>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3054</c:v>
                </c:pt>
                <c:pt idx="1">
                  <c:v>5.9353986084658139E-2</c:v>
                </c:pt>
                <c:pt idx="2" formatCode="0.00">
                  <c:v>2654</c:v>
                </c:pt>
                <c:pt idx="3" formatCode="0.00">
                  <c:v>400</c:v>
                </c:pt>
                <c:pt idx="4" formatCode="0">
                  <c:v>48400</c:v>
                </c:pt>
                <c:pt idx="5">
                  <c:v>0.94064601391534186</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1246154.4937859091</c:v>
                </c:pt>
                <c:pt idx="1">
                  <c:v>18476.182966415188</c:v>
                </c:pt>
                <c:pt idx="2">
                  <c:v>749611.64999999991</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1483592.58</c:v>
                </c:pt>
                <c:pt idx="1">
                  <c:v>16816</c:v>
                </c:pt>
                <c:pt idx="2">
                  <c:v>749611.64999999991</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986741.20957971399</c:v>
                </c:pt>
                <c:pt idx="1">
                  <c:v>335398.74222289928</c:v>
                </c:pt>
                <c:pt idx="2">
                  <c:v>102893.49031259808</c:v>
                </c:pt>
                <c:pt idx="3" formatCode="0.0">
                  <c:v>178878.94832930228</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89.174999999999997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8B6-421E-B681-665F3E641668}"/>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123.6</c:v>
                </c:pt>
                <c:pt idx="2">
                  <c:v>129.33750000000001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8B6-421E-B681-665F3E641668}"/>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142.875</c:v>
                </c:pt>
                <c:pt idx="4">
                  <c:v>148.61250000000001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C8B6-421E-B681-665F3E641668}"/>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164.98750000000001</c:v>
                </c:pt>
                <c:pt idx="6">
                  <c:v>170.72499999999999</c:v>
                </c:pt>
                <c:pt idx="7">
                  <c:v>170.72499999999999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C8B6-421E-B681-665F3E641668}"/>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196.27499999999998</c:v>
                </c:pt>
                <c:pt idx="9">
                  <c:v>196.27499999999998</c:v>
                </c:pt>
                <c:pt idx="10">
                  <c:v>211.35000000000002</c:v>
                </c:pt>
                <c:pt idx="11">
                  <c:v>211.35000000000002</c:v>
                </c:pt>
                <c:pt idx="12">
                  <c:v>220.1875</c:v>
                </c:pt>
                <c:pt idx="13">
                  <c:v>220.1875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C8B6-421E-B681-665F3E641668}"/>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233.46250000000001</c:v>
                </c:pt>
                <c:pt idx="15">
                  <c:v>233.46250000000001</c:v>
                </c:pt>
                <c:pt idx="16">
                  <c:v>241</c:v>
                </c:pt>
                <c:pt idx="17">
                  <c:v>241</c:v>
                </c:pt>
                <c:pt idx="18">
                  <c:v>248.73750000000001</c:v>
                </c:pt>
                <c:pt idx="19">
                  <c:v>248.73750000000001</c:v>
                </c:pt>
                <c:pt idx="20">
                  <c:v>256.77500000000003</c:v>
                </c:pt>
                <c:pt idx="21">
                  <c:v>256.77500000000003</c:v>
                </c:pt>
                <c:pt idx="22">
                  <c:v>259.27500000000003</c:v>
                </c:pt>
                <c:pt idx="23">
                  <c:v>259.27500000000003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C8B6-421E-B681-665F3E641668}"/>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266.61250000000001</c:v>
                </c:pt>
                <c:pt idx="25">
                  <c:v>266.61250000000001</c:v>
                </c:pt>
                <c:pt idx="26">
                  <c:v>274.04999999999995</c:v>
                </c:pt>
                <c:pt idx="27">
                  <c:v>274.04999999999995</c:v>
                </c:pt>
                <c:pt idx="28">
                  <c:v>281.08749999999998</c:v>
                </c:pt>
                <c:pt idx="29">
                  <c:v>281.08749999999998</c:v>
                </c:pt>
                <c:pt idx="30">
                  <c:v>282.48750000000001</c:v>
                </c:pt>
                <c:pt idx="31">
                  <c:v>282.48750000000001</c:v>
                </c:pt>
                <c:pt idx="32">
                  <c:v>290.22500000000002</c:v>
                </c:pt>
                <c:pt idx="33">
                  <c:v>290.22500000000002</c:v>
                </c:pt>
                <c:pt idx="34">
                  <c:v>297.26249999999999</c:v>
                </c:pt>
                <c:pt idx="35">
                  <c:v>297.26249999999999</c:v>
                </c:pt>
                <c:pt idx="36">
                  <c:v>299.26249999999999</c:v>
                </c:pt>
                <c:pt idx="37">
                  <c:v>299.26249999999999</c:v>
                </c:pt>
                <c:pt idx="38">
                  <c:v>306.7</c:v>
                </c:pt>
                <c:pt idx="39">
                  <c:v>306.7</c:v>
                </c:pt>
                <c:pt idx="40">
                  <c:v>314.13750000000005</c:v>
                </c:pt>
                <c:pt idx="41">
                  <c:v>314.13750000000005</c:v>
                </c:pt>
                <c:pt idx="42">
                  <c:v>315.53750000000002</c:v>
                </c:pt>
                <c:pt idx="43">
                  <c:v>315.53750000000002</c:v>
                </c:pt>
                <c:pt idx="44">
                  <c:v>322.375</c:v>
                </c:pt>
                <c:pt idx="45">
                  <c:v>322.375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C8B6-421E-B681-665F3E641668}"/>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329.51249999999999</c:v>
                </c:pt>
                <c:pt idx="47">
                  <c:v>329.51249999999999</c:v>
                </c:pt>
                <c:pt idx="48">
                  <c:v>331.01249999999999</c:v>
                </c:pt>
                <c:pt idx="49">
                  <c:v>331.01249999999999</c:v>
                </c:pt>
                <c:pt idx="50">
                  <c:v>337.65</c:v>
                </c:pt>
                <c:pt idx="51">
                  <c:v>337.65</c:v>
                </c:pt>
                <c:pt idx="52">
                  <c:v>344.58749999999998</c:v>
                </c:pt>
                <c:pt idx="53">
                  <c:v>344.58749999999998</c:v>
                </c:pt>
                <c:pt idx="54">
                  <c:v>346.6875</c:v>
                </c:pt>
                <c:pt idx="55">
                  <c:v>346.6875</c:v>
                </c:pt>
                <c:pt idx="56">
                  <c:v>354.52499999999998</c:v>
                </c:pt>
                <c:pt idx="57">
                  <c:v>354.52499999999998</c:v>
                </c:pt>
                <c:pt idx="58">
                  <c:v>362.66250000000002</c:v>
                </c:pt>
                <c:pt idx="59">
                  <c:v>362.66250000000002</c:v>
                </c:pt>
                <c:pt idx="60">
                  <c:v>364.5625</c:v>
                </c:pt>
                <c:pt idx="61">
                  <c:v>364.5625</c:v>
                </c:pt>
                <c:pt idx="62">
                  <c:v>371.80000000000007</c:v>
                </c:pt>
                <c:pt idx="63">
                  <c:v>371.80000000000007</c:v>
                </c:pt>
                <c:pt idx="64">
                  <c:v>379.03750000000002</c:v>
                </c:pt>
                <c:pt idx="65">
                  <c:v>379.03750000000002</c:v>
                </c:pt>
                <c:pt idx="66">
                  <c:v>380.73749999999995</c:v>
                </c:pt>
                <c:pt idx="67">
                  <c:v>380.73749999999995</c:v>
                </c:pt>
                <c:pt idx="68">
                  <c:v>388.17500000000001</c:v>
                </c:pt>
                <c:pt idx="69">
                  <c:v>388.17500000000001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C8B6-421E-B681-665F3E641668}"/>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395.31249999999994</c:v>
                </c:pt>
                <c:pt idx="71">
                  <c:v>395.31249999999994</c:v>
                </c:pt>
                <c:pt idx="72">
                  <c:v>402.34999999999997</c:v>
                </c:pt>
                <c:pt idx="73">
                  <c:v>402.34999999999997</c:v>
                </c:pt>
                <c:pt idx="74">
                  <c:v>404.04999999999995</c:v>
                </c:pt>
                <c:pt idx="75">
                  <c:v>404.04999999999995</c:v>
                </c:pt>
                <c:pt idx="76">
                  <c:v>411.48749999999995</c:v>
                </c:pt>
                <c:pt idx="77">
                  <c:v>411.48749999999995</c:v>
                </c:pt>
                <c:pt idx="78">
                  <c:v>419.02499999999998</c:v>
                </c:pt>
                <c:pt idx="79">
                  <c:v>419.02499999999998</c:v>
                </c:pt>
                <c:pt idx="80">
                  <c:v>426.96249999999998</c:v>
                </c:pt>
                <c:pt idx="81">
                  <c:v>426.96249999999998</c:v>
                </c:pt>
                <c:pt idx="82">
                  <c:v>434.1</c:v>
                </c:pt>
                <c:pt idx="83">
                  <c:v>434.1</c:v>
                </c:pt>
                <c:pt idx="84">
                  <c:v>441.23750000000001</c:v>
                </c:pt>
                <c:pt idx="85">
                  <c:v>441.23750000000001</c:v>
                </c:pt>
                <c:pt idx="86">
                  <c:v>448.47500000000002</c:v>
                </c:pt>
                <c:pt idx="87">
                  <c:v>448.47500000000002</c:v>
                </c:pt>
                <c:pt idx="88">
                  <c:v>467.6875</c:v>
                </c:pt>
                <c:pt idx="89">
                  <c:v>467.6875</c:v>
                </c:pt>
                <c:pt idx="90">
                  <c:v>481.0625</c:v>
                </c:pt>
                <c:pt idx="91">
                  <c:v>481.0625</c:v>
                </c:pt>
                <c:pt idx="92">
                  <c:v>507.41250000000002</c:v>
                </c:pt>
                <c:pt idx="93">
                  <c:v>507.41250000000002</c:v>
                </c:pt>
                <c:pt idx="94">
                  <c:v>523.6875</c:v>
                </c:pt>
                <c:pt idx="95">
                  <c:v>535.92500000000007</c:v>
                </c:pt>
                <c:pt idx="96">
                  <c:v>541.66249999999991</c:v>
                </c:pt>
                <c:pt idx="97">
                  <c:v>575.47500000000002</c:v>
                </c:pt>
                <c:pt idx="98">
                  <c:v>586.95000000000005</c:v>
                </c:pt>
                <c:pt idx="99">
                  <c:v>660.07500000000005</c:v>
                </c:pt>
              </c:numCache>
            </c:numRef>
          </c:val>
          <c:extLst xmlns:c16r2="http://schemas.microsoft.com/office/drawing/2015/06/chart">
            <c:ext xmlns:c16="http://schemas.microsoft.com/office/drawing/2014/chart" uri="{C3380CC4-5D6E-409C-BE32-E72D297353CC}">
              <c16:uniqueId val="{00000008-C8B6-421E-B681-665F3E641668}"/>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295.10833078883383</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C8B6-421E-B681-665F3E641668}"/>
            </c:ext>
          </c:extLst>
        </c:ser>
        <c:dLbls>
          <c:showLegendKey val="0"/>
          <c:showVal val="0"/>
          <c:showCatName val="0"/>
          <c:showSerName val="0"/>
          <c:showPercent val="0"/>
          <c:showBubbleSize val="0"/>
        </c:dLbls>
        <c:gapWidth val="0"/>
        <c:overlap val="100"/>
        <c:axId val="196077792"/>
        <c:axId val="19607835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272.20242034313725</c:v>
                </c:pt>
                <c:pt idx="1">
                  <c:v>272.20242034313725</c:v>
                </c:pt>
                <c:pt idx="2">
                  <c:v>272.20242034313725</c:v>
                </c:pt>
                <c:pt idx="3">
                  <c:v>272.20242034313725</c:v>
                </c:pt>
                <c:pt idx="4">
                  <c:v>272.20242034313725</c:v>
                </c:pt>
                <c:pt idx="5">
                  <c:v>272.20242034313725</c:v>
                </c:pt>
                <c:pt idx="6">
                  <c:v>272.20242034313725</c:v>
                </c:pt>
                <c:pt idx="7">
                  <c:v>272.20242034313725</c:v>
                </c:pt>
                <c:pt idx="8">
                  <c:v>272.20242034313725</c:v>
                </c:pt>
                <c:pt idx="9">
                  <c:v>272.20242034313725</c:v>
                </c:pt>
                <c:pt idx="10">
                  <c:v>272.20242034313725</c:v>
                </c:pt>
                <c:pt idx="11">
                  <c:v>272.20242034313725</c:v>
                </c:pt>
                <c:pt idx="12">
                  <c:v>272.20242034313725</c:v>
                </c:pt>
                <c:pt idx="13">
                  <c:v>272.20242034313725</c:v>
                </c:pt>
                <c:pt idx="14">
                  <c:v>272.20242034313725</c:v>
                </c:pt>
                <c:pt idx="15">
                  <c:v>272.20242034313725</c:v>
                </c:pt>
                <c:pt idx="16">
                  <c:v>272.20242034313725</c:v>
                </c:pt>
                <c:pt idx="17">
                  <c:v>272.20242034313725</c:v>
                </c:pt>
                <c:pt idx="18">
                  <c:v>272.20242034313725</c:v>
                </c:pt>
                <c:pt idx="19">
                  <c:v>272.20242034313725</c:v>
                </c:pt>
                <c:pt idx="20">
                  <c:v>272.20242034313725</c:v>
                </c:pt>
                <c:pt idx="21">
                  <c:v>272.20242034313725</c:v>
                </c:pt>
                <c:pt idx="22">
                  <c:v>272.20242034313725</c:v>
                </c:pt>
                <c:pt idx="23">
                  <c:v>272.20242034313725</c:v>
                </c:pt>
                <c:pt idx="24">
                  <c:v>272.20242034313725</c:v>
                </c:pt>
                <c:pt idx="25">
                  <c:v>272.20242034313725</c:v>
                </c:pt>
                <c:pt idx="26">
                  <c:v>272.20242034313725</c:v>
                </c:pt>
                <c:pt idx="27">
                  <c:v>272.20242034313725</c:v>
                </c:pt>
                <c:pt idx="28">
                  <c:v>272.20242034313725</c:v>
                </c:pt>
                <c:pt idx="29">
                  <c:v>272.20242034313725</c:v>
                </c:pt>
                <c:pt idx="30">
                  <c:v>272.20242034313725</c:v>
                </c:pt>
                <c:pt idx="31">
                  <c:v>272.20242034313725</c:v>
                </c:pt>
                <c:pt idx="32">
                  <c:v>272.20242034313725</c:v>
                </c:pt>
                <c:pt idx="33">
                  <c:v>272.20242034313725</c:v>
                </c:pt>
                <c:pt idx="34">
                  <c:v>272.20242034313725</c:v>
                </c:pt>
                <c:pt idx="35">
                  <c:v>272.20242034313725</c:v>
                </c:pt>
                <c:pt idx="36">
                  <c:v>272.20242034313725</c:v>
                </c:pt>
                <c:pt idx="37">
                  <c:v>272.20242034313725</c:v>
                </c:pt>
                <c:pt idx="38">
                  <c:v>272.20242034313725</c:v>
                </c:pt>
                <c:pt idx="39">
                  <c:v>272.20242034313725</c:v>
                </c:pt>
                <c:pt idx="40">
                  <c:v>272.20242034313725</c:v>
                </c:pt>
                <c:pt idx="41">
                  <c:v>272.20242034313725</c:v>
                </c:pt>
                <c:pt idx="42">
                  <c:v>272.20242034313725</c:v>
                </c:pt>
                <c:pt idx="43">
                  <c:v>272.20242034313725</c:v>
                </c:pt>
                <c:pt idx="44">
                  <c:v>272.20242034313725</c:v>
                </c:pt>
                <c:pt idx="45">
                  <c:v>272.20242034313725</c:v>
                </c:pt>
                <c:pt idx="46">
                  <c:v>272.20242034313725</c:v>
                </c:pt>
                <c:pt idx="47">
                  <c:v>272.20242034313725</c:v>
                </c:pt>
                <c:pt idx="48">
                  <c:v>272.20242034313725</c:v>
                </c:pt>
                <c:pt idx="49">
                  <c:v>272.20242034313725</c:v>
                </c:pt>
                <c:pt idx="50">
                  <c:v>272.20242034313725</c:v>
                </c:pt>
                <c:pt idx="51">
                  <c:v>272.20242034313725</c:v>
                </c:pt>
                <c:pt idx="52">
                  <c:v>272.20242034313725</c:v>
                </c:pt>
                <c:pt idx="53">
                  <c:v>272.20242034313725</c:v>
                </c:pt>
                <c:pt idx="54">
                  <c:v>272.20242034313725</c:v>
                </c:pt>
                <c:pt idx="55">
                  <c:v>272.20242034313725</c:v>
                </c:pt>
                <c:pt idx="56">
                  <c:v>272.20242034313725</c:v>
                </c:pt>
                <c:pt idx="57">
                  <c:v>272.20242034313725</c:v>
                </c:pt>
                <c:pt idx="58">
                  <c:v>272.20242034313725</c:v>
                </c:pt>
                <c:pt idx="59">
                  <c:v>272.20242034313725</c:v>
                </c:pt>
                <c:pt idx="60">
                  <c:v>272.20242034313725</c:v>
                </c:pt>
                <c:pt idx="61">
                  <c:v>272.20242034313725</c:v>
                </c:pt>
                <c:pt idx="62">
                  <c:v>272.20242034313725</c:v>
                </c:pt>
                <c:pt idx="63">
                  <c:v>272.20242034313725</c:v>
                </c:pt>
                <c:pt idx="64">
                  <c:v>272.20242034313725</c:v>
                </c:pt>
                <c:pt idx="65">
                  <c:v>272.20242034313725</c:v>
                </c:pt>
                <c:pt idx="66">
                  <c:v>272.20242034313725</c:v>
                </c:pt>
                <c:pt idx="67">
                  <c:v>272.20242034313725</c:v>
                </c:pt>
                <c:pt idx="68">
                  <c:v>272.20242034313725</c:v>
                </c:pt>
                <c:pt idx="69">
                  <c:v>272.20242034313725</c:v>
                </c:pt>
                <c:pt idx="70">
                  <c:v>272.20242034313725</c:v>
                </c:pt>
                <c:pt idx="71">
                  <c:v>272.20242034313725</c:v>
                </c:pt>
                <c:pt idx="72">
                  <c:v>272.20242034313725</c:v>
                </c:pt>
                <c:pt idx="73">
                  <c:v>272.20242034313725</c:v>
                </c:pt>
                <c:pt idx="74">
                  <c:v>272.20242034313725</c:v>
                </c:pt>
                <c:pt idx="75">
                  <c:v>272.20242034313725</c:v>
                </c:pt>
                <c:pt idx="76">
                  <c:v>272.20242034313725</c:v>
                </c:pt>
                <c:pt idx="77">
                  <c:v>272.20242034313725</c:v>
                </c:pt>
                <c:pt idx="78">
                  <c:v>272.20242034313725</c:v>
                </c:pt>
                <c:pt idx="79">
                  <c:v>272.20242034313725</c:v>
                </c:pt>
                <c:pt idx="80">
                  <c:v>272.20242034313725</c:v>
                </c:pt>
                <c:pt idx="81">
                  <c:v>272.20242034313725</c:v>
                </c:pt>
                <c:pt idx="82">
                  <c:v>272.20242034313725</c:v>
                </c:pt>
                <c:pt idx="83">
                  <c:v>272.20242034313725</c:v>
                </c:pt>
                <c:pt idx="84">
                  <c:v>272.20242034313725</c:v>
                </c:pt>
                <c:pt idx="85">
                  <c:v>272.20242034313725</c:v>
                </c:pt>
                <c:pt idx="86">
                  <c:v>272.20242034313725</c:v>
                </c:pt>
                <c:pt idx="87">
                  <c:v>272.20242034313725</c:v>
                </c:pt>
                <c:pt idx="88">
                  <c:v>272.20242034313725</c:v>
                </c:pt>
                <c:pt idx="89">
                  <c:v>272.20242034313725</c:v>
                </c:pt>
                <c:pt idx="90">
                  <c:v>272.20242034313725</c:v>
                </c:pt>
                <c:pt idx="91">
                  <c:v>272.20242034313725</c:v>
                </c:pt>
                <c:pt idx="92">
                  <c:v>272.20242034313725</c:v>
                </c:pt>
                <c:pt idx="93">
                  <c:v>272.20242034313725</c:v>
                </c:pt>
                <c:pt idx="94">
                  <c:v>272.20242034313725</c:v>
                </c:pt>
                <c:pt idx="95">
                  <c:v>272.20242034313725</c:v>
                </c:pt>
                <c:pt idx="96">
                  <c:v>272.20242034313725</c:v>
                </c:pt>
                <c:pt idx="97">
                  <c:v>272.20242034313725</c:v>
                </c:pt>
                <c:pt idx="98">
                  <c:v>272.20242034313725</c:v>
                </c:pt>
                <c:pt idx="99">
                  <c:v>272.20242034313725</c:v>
                </c:pt>
              </c:numCache>
            </c:numRef>
          </c:val>
          <c:smooth val="0"/>
          <c:extLst xmlns:c16r2="http://schemas.microsoft.com/office/drawing/2015/06/chart">
            <c:ext xmlns:c16="http://schemas.microsoft.com/office/drawing/2014/chart" uri="{C3380CC4-5D6E-409C-BE32-E72D297353CC}">
              <c16:uniqueId val="{0000000A-C8B6-421E-B681-665F3E641668}"/>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114.88096813725491</c:v>
                </c:pt>
                <c:pt idx="1">
                  <c:v>114.88096813725491</c:v>
                </c:pt>
                <c:pt idx="2">
                  <c:v>114.88096813725491</c:v>
                </c:pt>
                <c:pt idx="3">
                  <c:v>114.88096813725491</c:v>
                </c:pt>
                <c:pt idx="4">
                  <c:v>114.88096813725491</c:v>
                </c:pt>
                <c:pt idx="5">
                  <c:v>114.88096813725491</c:v>
                </c:pt>
                <c:pt idx="6">
                  <c:v>114.88096813725491</c:v>
                </c:pt>
                <c:pt idx="7">
                  <c:v>114.88096813725491</c:v>
                </c:pt>
                <c:pt idx="8">
                  <c:v>114.88096813725491</c:v>
                </c:pt>
                <c:pt idx="9">
                  <c:v>114.88096813725491</c:v>
                </c:pt>
                <c:pt idx="10">
                  <c:v>114.88096813725491</c:v>
                </c:pt>
                <c:pt idx="11">
                  <c:v>114.88096813725491</c:v>
                </c:pt>
                <c:pt idx="12">
                  <c:v>114.88096813725491</c:v>
                </c:pt>
                <c:pt idx="13">
                  <c:v>114.88096813725491</c:v>
                </c:pt>
                <c:pt idx="14">
                  <c:v>114.88096813725491</c:v>
                </c:pt>
                <c:pt idx="15">
                  <c:v>114.88096813725491</c:v>
                </c:pt>
                <c:pt idx="16">
                  <c:v>114.88096813725491</c:v>
                </c:pt>
                <c:pt idx="17">
                  <c:v>114.88096813725491</c:v>
                </c:pt>
                <c:pt idx="18">
                  <c:v>114.88096813725491</c:v>
                </c:pt>
                <c:pt idx="19">
                  <c:v>114.88096813725491</c:v>
                </c:pt>
                <c:pt idx="20">
                  <c:v>114.88096813725491</c:v>
                </c:pt>
                <c:pt idx="21">
                  <c:v>114.88096813725491</c:v>
                </c:pt>
                <c:pt idx="22">
                  <c:v>114.88096813725491</c:v>
                </c:pt>
                <c:pt idx="23">
                  <c:v>114.88096813725491</c:v>
                </c:pt>
                <c:pt idx="24">
                  <c:v>114.88096813725491</c:v>
                </c:pt>
                <c:pt idx="25">
                  <c:v>114.88096813725491</c:v>
                </c:pt>
                <c:pt idx="26">
                  <c:v>114.88096813725491</c:v>
                </c:pt>
                <c:pt idx="27">
                  <c:v>114.88096813725491</c:v>
                </c:pt>
                <c:pt idx="28">
                  <c:v>114.88096813725491</c:v>
                </c:pt>
                <c:pt idx="29">
                  <c:v>114.88096813725491</c:v>
                </c:pt>
                <c:pt idx="30">
                  <c:v>114.88096813725491</c:v>
                </c:pt>
                <c:pt idx="31">
                  <c:v>114.88096813725491</c:v>
                </c:pt>
                <c:pt idx="32">
                  <c:v>114.88096813725491</c:v>
                </c:pt>
                <c:pt idx="33">
                  <c:v>114.88096813725491</c:v>
                </c:pt>
                <c:pt idx="34">
                  <c:v>114.88096813725491</c:v>
                </c:pt>
                <c:pt idx="35">
                  <c:v>114.88096813725491</c:v>
                </c:pt>
                <c:pt idx="36">
                  <c:v>114.88096813725491</c:v>
                </c:pt>
                <c:pt idx="37">
                  <c:v>114.88096813725491</c:v>
                </c:pt>
                <c:pt idx="38">
                  <c:v>114.88096813725491</c:v>
                </c:pt>
                <c:pt idx="39">
                  <c:v>114.88096813725491</c:v>
                </c:pt>
                <c:pt idx="40">
                  <c:v>114.88096813725491</c:v>
                </c:pt>
                <c:pt idx="41">
                  <c:v>114.88096813725491</c:v>
                </c:pt>
                <c:pt idx="42">
                  <c:v>114.88096813725491</c:v>
                </c:pt>
                <c:pt idx="43">
                  <c:v>114.88096813725491</c:v>
                </c:pt>
                <c:pt idx="44">
                  <c:v>114.88096813725491</c:v>
                </c:pt>
                <c:pt idx="45">
                  <c:v>114.88096813725491</c:v>
                </c:pt>
                <c:pt idx="46">
                  <c:v>114.88096813725491</c:v>
                </c:pt>
                <c:pt idx="47">
                  <c:v>114.88096813725491</c:v>
                </c:pt>
                <c:pt idx="48">
                  <c:v>114.88096813725491</c:v>
                </c:pt>
                <c:pt idx="49">
                  <c:v>114.88096813725491</c:v>
                </c:pt>
                <c:pt idx="50">
                  <c:v>114.88096813725491</c:v>
                </c:pt>
                <c:pt idx="51">
                  <c:v>114.88096813725491</c:v>
                </c:pt>
                <c:pt idx="52">
                  <c:v>114.88096813725491</c:v>
                </c:pt>
                <c:pt idx="53">
                  <c:v>114.88096813725491</c:v>
                </c:pt>
                <c:pt idx="54">
                  <c:v>114.88096813725491</c:v>
                </c:pt>
                <c:pt idx="55">
                  <c:v>114.88096813725491</c:v>
                </c:pt>
                <c:pt idx="56">
                  <c:v>114.88096813725491</c:v>
                </c:pt>
                <c:pt idx="57">
                  <c:v>114.88096813725491</c:v>
                </c:pt>
                <c:pt idx="58">
                  <c:v>114.88096813725491</c:v>
                </c:pt>
                <c:pt idx="59">
                  <c:v>114.88096813725491</c:v>
                </c:pt>
                <c:pt idx="60">
                  <c:v>114.88096813725491</c:v>
                </c:pt>
                <c:pt idx="61">
                  <c:v>114.88096813725491</c:v>
                </c:pt>
                <c:pt idx="62">
                  <c:v>114.88096813725491</c:v>
                </c:pt>
                <c:pt idx="63">
                  <c:v>114.88096813725491</c:v>
                </c:pt>
                <c:pt idx="64">
                  <c:v>114.88096813725491</c:v>
                </c:pt>
                <c:pt idx="65">
                  <c:v>114.88096813725491</c:v>
                </c:pt>
                <c:pt idx="66">
                  <c:v>114.88096813725491</c:v>
                </c:pt>
                <c:pt idx="67">
                  <c:v>114.88096813725491</c:v>
                </c:pt>
                <c:pt idx="68">
                  <c:v>114.88096813725491</c:v>
                </c:pt>
                <c:pt idx="69">
                  <c:v>114.88096813725491</c:v>
                </c:pt>
                <c:pt idx="70">
                  <c:v>114.88096813725491</c:v>
                </c:pt>
                <c:pt idx="71">
                  <c:v>114.88096813725491</c:v>
                </c:pt>
                <c:pt idx="72">
                  <c:v>114.88096813725491</c:v>
                </c:pt>
                <c:pt idx="73">
                  <c:v>114.88096813725491</c:v>
                </c:pt>
                <c:pt idx="74">
                  <c:v>114.88096813725491</c:v>
                </c:pt>
                <c:pt idx="75">
                  <c:v>114.88096813725491</c:v>
                </c:pt>
                <c:pt idx="76">
                  <c:v>114.88096813725491</c:v>
                </c:pt>
                <c:pt idx="77">
                  <c:v>114.88096813725491</c:v>
                </c:pt>
                <c:pt idx="78">
                  <c:v>114.88096813725491</c:v>
                </c:pt>
                <c:pt idx="79">
                  <c:v>114.88096813725491</c:v>
                </c:pt>
                <c:pt idx="80">
                  <c:v>114.88096813725491</c:v>
                </c:pt>
                <c:pt idx="81">
                  <c:v>114.88096813725491</c:v>
                </c:pt>
                <c:pt idx="82">
                  <c:v>114.88096813725491</c:v>
                </c:pt>
                <c:pt idx="83">
                  <c:v>114.88096813725491</c:v>
                </c:pt>
                <c:pt idx="84">
                  <c:v>114.88096813725491</c:v>
                </c:pt>
                <c:pt idx="85">
                  <c:v>114.88096813725491</c:v>
                </c:pt>
                <c:pt idx="86">
                  <c:v>114.88096813725491</c:v>
                </c:pt>
                <c:pt idx="87">
                  <c:v>114.88096813725491</c:v>
                </c:pt>
                <c:pt idx="88">
                  <c:v>114.88096813725491</c:v>
                </c:pt>
                <c:pt idx="89">
                  <c:v>114.88096813725491</c:v>
                </c:pt>
                <c:pt idx="90">
                  <c:v>114.88096813725491</c:v>
                </c:pt>
                <c:pt idx="91">
                  <c:v>114.88096813725491</c:v>
                </c:pt>
                <c:pt idx="92">
                  <c:v>114.88096813725491</c:v>
                </c:pt>
                <c:pt idx="93">
                  <c:v>114.88096813725491</c:v>
                </c:pt>
                <c:pt idx="94">
                  <c:v>114.88096813725491</c:v>
                </c:pt>
                <c:pt idx="95">
                  <c:v>114.88096813725491</c:v>
                </c:pt>
                <c:pt idx="96">
                  <c:v>114.88096813725491</c:v>
                </c:pt>
                <c:pt idx="97">
                  <c:v>114.88096813725491</c:v>
                </c:pt>
                <c:pt idx="98">
                  <c:v>114.88096813725491</c:v>
                </c:pt>
                <c:pt idx="99">
                  <c:v>114.88096813725491</c:v>
                </c:pt>
              </c:numCache>
            </c:numRef>
          </c:val>
          <c:smooth val="1"/>
          <c:extLst xmlns:c16r2="http://schemas.microsoft.com/office/drawing/2015/06/chart">
            <c:ext xmlns:c16="http://schemas.microsoft.com/office/drawing/2014/chart" uri="{C3380CC4-5D6E-409C-BE32-E72D297353CC}">
              <c16:uniqueId val="{0000000B-C8B6-421E-B681-665F3E641668}"/>
            </c:ext>
          </c:extLst>
        </c:ser>
        <c:dLbls>
          <c:showLegendKey val="0"/>
          <c:showVal val="0"/>
          <c:showCatName val="0"/>
          <c:showSerName val="0"/>
          <c:showPercent val="0"/>
          <c:showBubbleSize val="0"/>
        </c:dLbls>
        <c:marker val="1"/>
        <c:smooth val="0"/>
        <c:axId val="196077792"/>
        <c:axId val="196078352"/>
      </c:lineChart>
      <c:catAx>
        <c:axId val="1960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6078352"/>
        <c:crosses val="autoZero"/>
        <c:auto val="1"/>
        <c:lblAlgn val="ctr"/>
        <c:lblOffset val="500"/>
        <c:tickLblSkip val="5"/>
        <c:tickMarkSkip val="10"/>
        <c:noMultiLvlLbl val="0"/>
      </c:catAx>
      <c:valAx>
        <c:axId val="1960783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077792"/>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91F0-4870-B455-102AED40EE22}"/>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998.1</c:v>
                </c:pt>
                <c:pt idx="1">
                  <c:v>867.3730844793713</c:v>
                </c:pt>
                <c:pt idx="2">
                  <c:v>130.72691552062869</c:v>
                </c:pt>
                <c:pt idx="3" formatCode="0%">
                  <c:v>0</c:v>
                </c:pt>
                <c:pt idx="4">
                  <c:v>15817.9</c:v>
                </c:pt>
                <c:pt idx="5" formatCode="0%">
                  <c:v>0</c:v>
                </c:pt>
                <c:pt idx="6">
                  <c:v>1660.1829664151869</c:v>
                </c:pt>
                <c:pt idx="7" formatCode="0%">
                  <c:v>0</c:v>
                </c:pt>
                <c:pt idx="8" formatCode="0.0">
                  <c:v>1660.1829664151869</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342473680"/>
        <c:axId val="342474240"/>
      </c:scatterChart>
      <c:valAx>
        <c:axId val="342473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42474240"/>
        <c:crosses val="autoZero"/>
        <c:crossBetween val="midCat"/>
      </c:valAx>
      <c:valAx>
        <c:axId val="342474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42473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342476480"/>
        <c:axId val="342477040"/>
      </c:scatterChart>
      <c:valAx>
        <c:axId val="342476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42477040"/>
        <c:crosses val="autoZero"/>
        <c:crossBetween val="midCat"/>
      </c:valAx>
      <c:valAx>
        <c:axId val="34247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424764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729B-4F1A-BBF5-BCF2A185193E}"/>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3.4169742898780886E-2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729B-4F1A-BBF5-BCF2A185193E}"/>
            </c:ext>
          </c:extLst>
        </c:ser>
        <c:dLbls>
          <c:showLegendKey val="0"/>
          <c:showVal val="0"/>
          <c:showCatName val="0"/>
          <c:showSerName val="0"/>
          <c:showPercent val="0"/>
          <c:showBubbleSize val="0"/>
        </c:dLbls>
        <c:gapWidth val="0"/>
        <c:overlap val="100"/>
        <c:axId val="196082832"/>
        <c:axId val="1960833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1.9823257080610023E-2</c:v>
                </c:pt>
                <c:pt idx="1">
                  <c:v>1.9823257080610023E-2</c:v>
                </c:pt>
                <c:pt idx="2">
                  <c:v>1.9823257080610023E-2</c:v>
                </c:pt>
                <c:pt idx="3">
                  <c:v>1.9823257080610023E-2</c:v>
                </c:pt>
                <c:pt idx="4">
                  <c:v>1.9823257080610023E-2</c:v>
                </c:pt>
                <c:pt idx="5">
                  <c:v>1.9823257080610023E-2</c:v>
                </c:pt>
                <c:pt idx="6">
                  <c:v>1.9823257080610023E-2</c:v>
                </c:pt>
                <c:pt idx="7">
                  <c:v>1.9823257080610023E-2</c:v>
                </c:pt>
                <c:pt idx="8">
                  <c:v>1.9823257080610023E-2</c:v>
                </c:pt>
                <c:pt idx="9">
                  <c:v>1.9823257080610023E-2</c:v>
                </c:pt>
                <c:pt idx="10">
                  <c:v>1.9823257080610023E-2</c:v>
                </c:pt>
                <c:pt idx="11">
                  <c:v>1.9823257080610023E-2</c:v>
                </c:pt>
                <c:pt idx="12">
                  <c:v>1.9823257080610023E-2</c:v>
                </c:pt>
                <c:pt idx="13">
                  <c:v>1.9823257080610023E-2</c:v>
                </c:pt>
                <c:pt idx="14">
                  <c:v>1.9823257080610023E-2</c:v>
                </c:pt>
                <c:pt idx="15">
                  <c:v>1.9823257080610023E-2</c:v>
                </c:pt>
                <c:pt idx="16">
                  <c:v>1.9823257080610023E-2</c:v>
                </c:pt>
                <c:pt idx="17">
                  <c:v>1.9823257080610023E-2</c:v>
                </c:pt>
                <c:pt idx="18">
                  <c:v>1.9823257080610023E-2</c:v>
                </c:pt>
                <c:pt idx="19">
                  <c:v>1.9823257080610023E-2</c:v>
                </c:pt>
                <c:pt idx="20">
                  <c:v>1.9823257080610023E-2</c:v>
                </c:pt>
                <c:pt idx="21">
                  <c:v>1.9823257080610023E-2</c:v>
                </c:pt>
                <c:pt idx="22">
                  <c:v>1.9823257080610023E-2</c:v>
                </c:pt>
                <c:pt idx="23">
                  <c:v>1.9823257080610023E-2</c:v>
                </c:pt>
                <c:pt idx="24">
                  <c:v>1.9823257080610023E-2</c:v>
                </c:pt>
                <c:pt idx="25">
                  <c:v>1.9823257080610023E-2</c:v>
                </c:pt>
                <c:pt idx="26">
                  <c:v>1.9823257080610023E-2</c:v>
                </c:pt>
                <c:pt idx="27">
                  <c:v>1.9823257080610023E-2</c:v>
                </c:pt>
                <c:pt idx="28">
                  <c:v>1.9823257080610023E-2</c:v>
                </c:pt>
                <c:pt idx="29">
                  <c:v>1.9823257080610023E-2</c:v>
                </c:pt>
                <c:pt idx="30">
                  <c:v>1.9823257080610023E-2</c:v>
                </c:pt>
                <c:pt idx="31">
                  <c:v>1.9823257080610023E-2</c:v>
                </c:pt>
                <c:pt idx="32">
                  <c:v>1.9823257080610023E-2</c:v>
                </c:pt>
                <c:pt idx="33">
                  <c:v>1.9823257080610023E-2</c:v>
                </c:pt>
                <c:pt idx="34">
                  <c:v>1.9823257080610023E-2</c:v>
                </c:pt>
                <c:pt idx="35">
                  <c:v>1.9823257080610023E-2</c:v>
                </c:pt>
                <c:pt idx="36">
                  <c:v>1.9823257080610023E-2</c:v>
                </c:pt>
                <c:pt idx="37">
                  <c:v>1.9823257080610023E-2</c:v>
                </c:pt>
                <c:pt idx="38">
                  <c:v>1.9823257080610023E-2</c:v>
                </c:pt>
                <c:pt idx="39">
                  <c:v>1.9823257080610023E-2</c:v>
                </c:pt>
                <c:pt idx="40">
                  <c:v>1.9823257080610023E-2</c:v>
                </c:pt>
                <c:pt idx="41">
                  <c:v>1.9823257080610023E-2</c:v>
                </c:pt>
                <c:pt idx="42">
                  <c:v>1.9823257080610023E-2</c:v>
                </c:pt>
                <c:pt idx="43">
                  <c:v>1.9823257080610023E-2</c:v>
                </c:pt>
                <c:pt idx="44">
                  <c:v>1.9823257080610023E-2</c:v>
                </c:pt>
                <c:pt idx="45">
                  <c:v>1.9823257080610023E-2</c:v>
                </c:pt>
                <c:pt idx="46">
                  <c:v>1.9823257080610023E-2</c:v>
                </c:pt>
                <c:pt idx="47">
                  <c:v>1.9823257080610023E-2</c:v>
                </c:pt>
                <c:pt idx="48">
                  <c:v>1.9823257080610023E-2</c:v>
                </c:pt>
                <c:pt idx="49">
                  <c:v>1.9823257080610023E-2</c:v>
                </c:pt>
                <c:pt idx="50">
                  <c:v>1.9823257080610023E-2</c:v>
                </c:pt>
                <c:pt idx="51">
                  <c:v>1.9823257080610023E-2</c:v>
                </c:pt>
                <c:pt idx="52">
                  <c:v>1.9823257080610023E-2</c:v>
                </c:pt>
                <c:pt idx="53">
                  <c:v>1.9823257080610023E-2</c:v>
                </c:pt>
                <c:pt idx="54">
                  <c:v>1.9823257080610023E-2</c:v>
                </c:pt>
                <c:pt idx="55">
                  <c:v>1.9823257080610023E-2</c:v>
                </c:pt>
                <c:pt idx="56">
                  <c:v>1.9823257080610023E-2</c:v>
                </c:pt>
                <c:pt idx="57">
                  <c:v>1.9823257080610023E-2</c:v>
                </c:pt>
                <c:pt idx="58">
                  <c:v>1.9823257080610023E-2</c:v>
                </c:pt>
                <c:pt idx="59">
                  <c:v>1.9823257080610023E-2</c:v>
                </c:pt>
                <c:pt idx="60">
                  <c:v>1.9823257080610023E-2</c:v>
                </c:pt>
                <c:pt idx="61">
                  <c:v>1.9823257080610023E-2</c:v>
                </c:pt>
                <c:pt idx="62">
                  <c:v>1.9823257080610023E-2</c:v>
                </c:pt>
                <c:pt idx="63">
                  <c:v>1.9823257080610023E-2</c:v>
                </c:pt>
                <c:pt idx="64">
                  <c:v>1.9823257080610023E-2</c:v>
                </c:pt>
                <c:pt idx="65">
                  <c:v>1.9823257080610023E-2</c:v>
                </c:pt>
                <c:pt idx="66">
                  <c:v>1.9823257080610023E-2</c:v>
                </c:pt>
                <c:pt idx="67">
                  <c:v>1.9823257080610023E-2</c:v>
                </c:pt>
                <c:pt idx="68">
                  <c:v>1.9823257080610023E-2</c:v>
                </c:pt>
                <c:pt idx="69">
                  <c:v>1.9823257080610023E-2</c:v>
                </c:pt>
                <c:pt idx="70">
                  <c:v>1.9823257080610023E-2</c:v>
                </c:pt>
                <c:pt idx="71">
                  <c:v>1.9823257080610023E-2</c:v>
                </c:pt>
                <c:pt idx="72">
                  <c:v>1.9823257080610023E-2</c:v>
                </c:pt>
                <c:pt idx="73">
                  <c:v>1.9823257080610023E-2</c:v>
                </c:pt>
                <c:pt idx="74">
                  <c:v>1.9823257080610023E-2</c:v>
                </c:pt>
                <c:pt idx="75">
                  <c:v>1.9823257080610023E-2</c:v>
                </c:pt>
                <c:pt idx="76">
                  <c:v>1.9823257080610023E-2</c:v>
                </c:pt>
                <c:pt idx="77">
                  <c:v>1.9823257080610023E-2</c:v>
                </c:pt>
                <c:pt idx="78">
                  <c:v>1.9823257080610023E-2</c:v>
                </c:pt>
                <c:pt idx="79">
                  <c:v>1.9823257080610023E-2</c:v>
                </c:pt>
                <c:pt idx="80">
                  <c:v>1.9823257080610023E-2</c:v>
                </c:pt>
                <c:pt idx="81">
                  <c:v>1.9823257080610023E-2</c:v>
                </c:pt>
                <c:pt idx="82">
                  <c:v>1.9823257080610023E-2</c:v>
                </c:pt>
                <c:pt idx="83">
                  <c:v>1.9823257080610023E-2</c:v>
                </c:pt>
                <c:pt idx="84">
                  <c:v>1.9823257080610023E-2</c:v>
                </c:pt>
                <c:pt idx="85">
                  <c:v>1.9823257080610023E-2</c:v>
                </c:pt>
                <c:pt idx="86">
                  <c:v>1.9823257080610023E-2</c:v>
                </c:pt>
                <c:pt idx="87">
                  <c:v>1.9823257080610023E-2</c:v>
                </c:pt>
                <c:pt idx="88">
                  <c:v>1.9823257080610023E-2</c:v>
                </c:pt>
                <c:pt idx="89">
                  <c:v>1.9823257080610023E-2</c:v>
                </c:pt>
                <c:pt idx="90">
                  <c:v>1.9823257080610023E-2</c:v>
                </c:pt>
                <c:pt idx="91">
                  <c:v>1.9823257080610023E-2</c:v>
                </c:pt>
                <c:pt idx="92">
                  <c:v>1.9823257080610023E-2</c:v>
                </c:pt>
                <c:pt idx="93">
                  <c:v>1.9823257080610023E-2</c:v>
                </c:pt>
                <c:pt idx="94">
                  <c:v>1.9823257080610023E-2</c:v>
                </c:pt>
                <c:pt idx="95">
                  <c:v>1.9823257080610023E-2</c:v>
                </c:pt>
                <c:pt idx="96">
                  <c:v>1.9823257080610023E-2</c:v>
                </c:pt>
                <c:pt idx="97">
                  <c:v>1.9823257080610023E-2</c:v>
                </c:pt>
                <c:pt idx="98">
                  <c:v>1.9823257080610023E-2</c:v>
                </c:pt>
                <c:pt idx="99">
                  <c:v>1.9823257080610023E-2</c:v>
                </c:pt>
              </c:numCache>
            </c:numRef>
          </c:val>
          <c:smooth val="0"/>
          <c:extLst xmlns:c16r2="http://schemas.microsoft.com/office/drawing/2015/06/chart">
            <c:ext xmlns:c16="http://schemas.microsoft.com/office/drawing/2014/chart" uri="{C3380CC4-5D6E-409C-BE32-E72D297353CC}">
              <c16:uniqueId val="{00000002-729B-4F1A-BBF5-BCF2A185193E}"/>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7.929302832244009E-3</c:v>
                </c:pt>
                <c:pt idx="1">
                  <c:v>7.929302832244009E-3</c:v>
                </c:pt>
                <c:pt idx="2">
                  <c:v>7.929302832244009E-3</c:v>
                </c:pt>
                <c:pt idx="3">
                  <c:v>7.929302832244009E-3</c:v>
                </c:pt>
                <c:pt idx="4">
                  <c:v>7.929302832244009E-3</c:v>
                </c:pt>
                <c:pt idx="5">
                  <c:v>7.929302832244009E-3</c:v>
                </c:pt>
                <c:pt idx="6">
                  <c:v>7.929302832244009E-3</c:v>
                </c:pt>
                <c:pt idx="7">
                  <c:v>7.929302832244009E-3</c:v>
                </c:pt>
                <c:pt idx="8">
                  <c:v>7.929302832244009E-3</c:v>
                </c:pt>
                <c:pt idx="9">
                  <c:v>7.929302832244009E-3</c:v>
                </c:pt>
                <c:pt idx="10">
                  <c:v>7.929302832244009E-3</c:v>
                </c:pt>
                <c:pt idx="11">
                  <c:v>7.929302832244009E-3</c:v>
                </c:pt>
                <c:pt idx="12">
                  <c:v>7.929302832244009E-3</c:v>
                </c:pt>
                <c:pt idx="13">
                  <c:v>7.929302832244009E-3</c:v>
                </c:pt>
                <c:pt idx="14">
                  <c:v>7.929302832244009E-3</c:v>
                </c:pt>
                <c:pt idx="15">
                  <c:v>7.929302832244009E-3</c:v>
                </c:pt>
                <c:pt idx="16">
                  <c:v>7.929302832244009E-3</c:v>
                </c:pt>
                <c:pt idx="17">
                  <c:v>7.929302832244009E-3</c:v>
                </c:pt>
                <c:pt idx="18">
                  <c:v>7.929302832244009E-3</c:v>
                </c:pt>
                <c:pt idx="19">
                  <c:v>7.929302832244009E-3</c:v>
                </c:pt>
                <c:pt idx="20">
                  <c:v>7.929302832244009E-3</c:v>
                </c:pt>
                <c:pt idx="21">
                  <c:v>7.929302832244009E-3</c:v>
                </c:pt>
                <c:pt idx="22">
                  <c:v>7.929302832244009E-3</c:v>
                </c:pt>
                <c:pt idx="23">
                  <c:v>7.929302832244009E-3</c:v>
                </c:pt>
                <c:pt idx="24">
                  <c:v>7.929302832244009E-3</c:v>
                </c:pt>
                <c:pt idx="25">
                  <c:v>7.929302832244009E-3</c:v>
                </c:pt>
                <c:pt idx="26">
                  <c:v>7.929302832244009E-3</c:v>
                </c:pt>
                <c:pt idx="27">
                  <c:v>7.929302832244009E-3</c:v>
                </c:pt>
                <c:pt idx="28">
                  <c:v>7.929302832244009E-3</c:v>
                </c:pt>
                <c:pt idx="29">
                  <c:v>7.929302832244009E-3</c:v>
                </c:pt>
                <c:pt idx="30">
                  <c:v>7.929302832244009E-3</c:v>
                </c:pt>
                <c:pt idx="31">
                  <c:v>7.929302832244009E-3</c:v>
                </c:pt>
                <c:pt idx="32">
                  <c:v>7.929302832244009E-3</c:v>
                </c:pt>
                <c:pt idx="33">
                  <c:v>7.929302832244009E-3</c:v>
                </c:pt>
                <c:pt idx="34">
                  <c:v>7.929302832244009E-3</c:v>
                </c:pt>
                <c:pt idx="35">
                  <c:v>7.929302832244009E-3</c:v>
                </c:pt>
                <c:pt idx="36">
                  <c:v>7.929302832244009E-3</c:v>
                </c:pt>
                <c:pt idx="37">
                  <c:v>7.929302832244009E-3</c:v>
                </c:pt>
                <c:pt idx="38">
                  <c:v>7.929302832244009E-3</c:v>
                </c:pt>
                <c:pt idx="39">
                  <c:v>7.929302832244009E-3</c:v>
                </c:pt>
                <c:pt idx="40">
                  <c:v>7.929302832244009E-3</c:v>
                </c:pt>
                <c:pt idx="41">
                  <c:v>7.929302832244009E-3</c:v>
                </c:pt>
                <c:pt idx="42">
                  <c:v>7.929302832244009E-3</c:v>
                </c:pt>
                <c:pt idx="43">
                  <c:v>7.929302832244009E-3</c:v>
                </c:pt>
                <c:pt idx="44">
                  <c:v>7.929302832244009E-3</c:v>
                </c:pt>
                <c:pt idx="45">
                  <c:v>7.929302832244009E-3</c:v>
                </c:pt>
                <c:pt idx="46">
                  <c:v>7.929302832244009E-3</c:v>
                </c:pt>
                <c:pt idx="47">
                  <c:v>7.929302832244009E-3</c:v>
                </c:pt>
                <c:pt idx="48">
                  <c:v>7.929302832244009E-3</c:v>
                </c:pt>
                <c:pt idx="49">
                  <c:v>7.929302832244009E-3</c:v>
                </c:pt>
                <c:pt idx="50">
                  <c:v>7.929302832244009E-3</c:v>
                </c:pt>
                <c:pt idx="51">
                  <c:v>7.929302832244009E-3</c:v>
                </c:pt>
                <c:pt idx="52">
                  <c:v>7.929302832244009E-3</c:v>
                </c:pt>
                <c:pt idx="53">
                  <c:v>7.929302832244009E-3</c:v>
                </c:pt>
                <c:pt idx="54">
                  <c:v>7.929302832244009E-3</c:v>
                </c:pt>
                <c:pt idx="55">
                  <c:v>7.929302832244009E-3</c:v>
                </c:pt>
                <c:pt idx="56">
                  <c:v>7.929302832244009E-3</c:v>
                </c:pt>
                <c:pt idx="57">
                  <c:v>7.929302832244009E-3</c:v>
                </c:pt>
                <c:pt idx="58">
                  <c:v>7.929302832244009E-3</c:v>
                </c:pt>
                <c:pt idx="59">
                  <c:v>7.929302832244009E-3</c:v>
                </c:pt>
                <c:pt idx="60">
                  <c:v>7.929302832244009E-3</c:v>
                </c:pt>
                <c:pt idx="61">
                  <c:v>7.929302832244009E-3</c:v>
                </c:pt>
                <c:pt idx="62">
                  <c:v>7.929302832244009E-3</c:v>
                </c:pt>
                <c:pt idx="63">
                  <c:v>7.929302832244009E-3</c:v>
                </c:pt>
                <c:pt idx="64">
                  <c:v>7.929302832244009E-3</c:v>
                </c:pt>
                <c:pt idx="65">
                  <c:v>7.929302832244009E-3</c:v>
                </c:pt>
                <c:pt idx="66">
                  <c:v>7.929302832244009E-3</c:v>
                </c:pt>
                <c:pt idx="67">
                  <c:v>7.929302832244009E-3</c:v>
                </c:pt>
                <c:pt idx="68">
                  <c:v>7.929302832244009E-3</c:v>
                </c:pt>
                <c:pt idx="69">
                  <c:v>7.929302832244009E-3</c:v>
                </c:pt>
                <c:pt idx="70">
                  <c:v>7.929302832244009E-3</c:v>
                </c:pt>
                <c:pt idx="71">
                  <c:v>7.929302832244009E-3</c:v>
                </c:pt>
                <c:pt idx="72">
                  <c:v>7.929302832244009E-3</c:v>
                </c:pt>
                <c:pt idx="73">
                  <c:v>7.929302832244009E-3</c:v>
                </c:pt>
                <c:pt idx="74">
                  <c:v>7.929302832244009E-3</c:v>
                </c:pt>
                <c:pt idx="75">
                  <c:v>7.929302832244009E-3</c:v>
                </c:pt>
                <c:pt idx="76">
                  <c:v>7.929302832244009E-3</c:v>
                </c:pt>
                <c:pt idx="77">
                  <c:v>7.929302832244009E-3</c:v>
                </c:pt>
                <c:pt idx="78">
                  <c:v>7.929302832244009E-3</c:v>
                </c:pt>
                <c:pt idx="79">
                  <c:v>7.929302832244009E-3</c:v>
                </c:pt>
                <c:pt idx="80">
                  <c:v>7.929302832244009E-3</c:v>
                </c:pt>
                <c:pt idx="81">
                  <c:v>7.929302832244009E-3</c:v>
                </c:pt>
                <c:pt idx="82">
                  <c:v>7.929302832244009E-3</c:v>
                </c:pt>
                <c:pt idx="83">
                  <c:v>7.929302832244009E-3</c:v>
                </c:pt>
                <c:pt idx="84">
                  <c:v>7.929302832244009E-3</c:v>
                </c:pt>
                <c:pt idx="85">
                  <c:v>7.929302832244009E-3</c:v>
                </c:pt>
                <c:pt idx="86">
                  <c:v>7.929302832244009E-3</c:v>
                </c:pt>
                <c:pt idx="87">
                  <c:v>7.929302832244009E-3</c:v>
                </c:pt>
                <c:pt idx="88">
                  <c:v>7.929302832244009E-3</c:v>
                </c:pt>
                <c:pt idx="89">
                  <c:v>7.929302832244009E-3</c:v>
                </c:pt>
                <c:pt idx="90">
                  <c:v>7.929302832244009E-3</c:v>
                </c:pt>
                <c:pt idx="91">
                  <c:v>7.929302832244009E-3</c:v>
                </c:pt>
                <c:pt idx="92">
                  <c:v>7.929302832244009E-3</c:v>
                </c:pt>
                <c:pt idx="93">
                  <c:v>7.929302832244009E-3</c:v>
                </c:pt>
                <c:pt idx="94">
                  <c:v>7.929302832244009E-3</c:v>
                </c:pt>
                <c:pt idx="95">
                  <c:v>7.929302832244009E-3</c:v>
                </c:pt>
                <c:pt idx="96">
                  <c:v>7.929302832244009E-3</c:v>
                </c:pt>
                <c:pt idx="97">
                  <c:v>7.929302832244009E-3</c:v>
                </c:pt>
                <c:pt idx="98">
                  <c:v>7.929302832244009E-3</c:v>
                </c:pt>
                <c:pt idx="99">
                  <c:v>7.929302832244009E-3</c:v>
                </c:pt>
              </c:numCache>
            </c:numRef>
          </c:val>
          <c:smooth val="0"/>
          <c:extLst xmlns:c16r2="http://schemas.microsoft.com/office/drawing/2015/06/chart">
            <c:ext xmlns:c16="http://schemas.microsoft.com/office/drawing/2014/chart" uri="{C3380CC4-5D6E-409C-BE32-E72D297353CC}">
              <c16:uniqueId val="{00000003-729B-4F1A-BBF5-BCF2A185193E}"/>
            </c:ext>
          </c:extLst>
        </c:ser>
        <c:dLbls>
          <c:showLegendKey val="0"/>
          <c:showVal val="0"/>
          <c:showCatName val="0"/>
          <c:showSerName val="0"/>
          <c:showPercent val="0"/>
          <c:showBubbleSize val="0"/>
        </c:dLbls>
        <c:marker val="1"/>
        <c:smooth val="0"/>
        <c:axId val="196082832"/>
        <c:axId val="196083392"/>
      </c:lineChart>
      <c:catAx>
        <c:axId val="196082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6083392"/>
        <c:crosses val="autoZero"/>
        <c:auto val="1"/>
        <c:lblAlgn val="ctr"/>
        <c:lblOffset val="500"/>
        <c:tickLblSkip val="5"/>
        <c:noMultiLvlLbl val="0"/>
      </c:catAx>
      <c:valAx>
        <c:axId val="1960833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08283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797C-4407-BE19-F9ADB1BFB646}"/>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99.057208361777725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797C-4407-BE19-F9ADB1BFB646}"/>
            </c:ext>
          </c:extLst>
        </c:ser>
        <c:dLbls>
          <c:showLegendKey val="0"/>
          <c:showVal val="0"/>
          <c:showCatName val="0"/>
          <c:showSerName val="0"/>
          <c:showPercent val="0"/>
          <c:showBubbleSize val="0"/>
        </c:dLbls>
        <c:gapWidth val="0"/>
        <c:overlap val="100"/>
        <c:axId val="196139488"/>
        <c:axId val="19625168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138.46648284313724</c:v>
                </c:pt>
                <c:pt idx="1">
                  <c:v>138.46648284313724</c:v>
                </c:pt>
                <c:pt idx="2">
                  <c:v>138.46648284313724</c:v>
                </c:pt>
                <c:pt idx="3">
                  <c:v>138.46648284313724</c:v>
                </c:pt>
                <c:pt idx="4">
                  <c:v>138.46648284313724</c:v>
                </c:pt>
                <c:pt idx="5">
                  <c:v>138.46648284313724</c:v>
                </c:pt>
                <c:pt idx="6">
                  <c:v>138.46648284313724</c:v>
                </c:pt>
                <c:pt idx="7">
                  <c:v>138.46648284313724</c:v>
                </c:pt>
                <c:pt idx="8">
                  <c:v>138.46648284313724</c:v>
                </c:pt>
                <c:pt idx="9">
                  <c:v>138.46648284313724</c:v>
                </c:pt>
                <c:pt idx="10">
                  <c:v>138.46648284313724</c:v>
                </c:pt>
                <c:pt idx="11">
                  <c:v>138.46648284313724</c:v>
                </c:pt>
                <c:pt idx="12">
                  <c:v>138.46648284313724</c:v>
                </c:pt>
                <c:pt idx="13">
                  <c:v>138.46648284313724</c:v>
                </c:pt>
                <c:pt idx="14">
                  <c:v>138.46648284313724</c:v>
                </c:pt>
                <c:pt idx="15">
                  <c:v>138.46648284313724</c:v>
                </c:pt>
                <c:pt idx="16">
                  <c:v>138.46648284313724</c:v>
                </c:pt>
                <c:pt idx="17">
                  <c:v>138.46648284313724</c:v>
                </c:pt>
                <c:pt idx="18">
                  <c:v>138.46648284313724</c:v>
                </c:pt>
                <c:pt idx="19">
                  <c:v>138.46648284313724</c:v>
                </c:pt>
                <c:pt idx="20">
                  <c:v>138.46648284313724</c:v>
                </c:pt>
                <c:pt idx="21">
                  <c:v>138.46648284313724</c:v>
                </c:pt>
                <c:pt idx="22">
                  <c:v>138.46648284313724</c:v>
                </c:pt>
                <c:pt idx="23">
                  <c:v>138.46648284313724</c:v>
                </c:pt>
                <c:pt idx="24">
                  <c:v>138.46648284313724</c:v>
                </c:pt>
                <c:pt idx="25">
                  <c:v>138.46648284313724</c:v>
                </c:pt>
                <c:pt idx="26">
                  <c:v>138.46648284313724</c:v>
                </c:pt>
                <c:pt idx="27">
                  <c:v>138.46648284313724</c:v>
                </c:pt>
                <c:pt idx="28">
                  <c:v>138.46648284313724</c:v>
                </c:pt>
                <c:pt idx="29">
                  <c:v>138.46648284313724</c:v>
                </c:pt>
                <c:pt idx="30">
                  <c:v>138.46648284313724</c:v>
                </c:pt>
                <c:pt idx="31">
                  <c:v>138.46648284313724</c:v>
                </c:pt>
                <c:pt idx="32">
                  <c:v>138.46648284313724</c:v>
                </c:pt>
                <c:pt idx="33">
                  <c:v>138.46648284313724</c:v>
                </c:pt>
                <c:pt idx="34">
                  <c:v>138.46648284313724</c:v>
                </c:pt>
                <c:pt idx="35">
                  <c:v>138.46648284313724</c:v>
                </c:pt>
                <c:pt idx="36">
                  <c:v>138.46648284313724</c:v>
                </c:pt>
                <c:pt idx="37">
                  <c:v>138.46648284313724</c:v>
                </c:pt>
                <c:pt idx="38">
                  <c:v>138.46648284313724</c:v>
                </c:pt>
                <c:pt idx="39">
                  <c:v>138.46648284313724</c:v>
                </c:pt>
                <c:pt idx="40">
                  <c:v>138.46648284313724</c:v>
                </c:pt>
                <c:pt idx="41">
                  <c:v>138.46648284313724</c:v>
                </c:pt>
                <c:pt idx="42">
                  <c:v>138.46648284313724</c:v>
                </c:pt>
                <c:pt idx="43">
                  <c:v>138.46648284313724</c:v>
                </c:pt>
                <c:pt idx="44">
                  <c:v>138.46648284313724</c:v>
                </c:pt>
                <c:pt idx="45">
                  <c:v>138.46648284313724</c:v>
                </c:pt>
                <c:pt idx="46">
                  <c:v>138.46648284313724</c:v>
                </c:pt>
                <c:pt idx="47">
                  <c:v>138.46648284313724</c:v>
                </c:pt>
                <c:pt idx="48">
                  <c:v>138.46648284313724</c:v>
                </c:pt>
                <c:pt idx="49">
                  <c:v>138.46648284313724</c:v>
                </c:pt>
                <c:pt idx="50">
                  <c:v>138.46648284313724</c:v>
                </c:pt>
                <c:pt idx="51">
                  <c:v>138.46648284313724</c:v>
                </c:pt>
                <c:pt idx="52">
                  <c:v>138.46648284313724</c:v>
                </c:pt>
                <c:pt idx="53">
                  <c:v>138.46648284313724</c:v>
                </c:pt>
                <c:pt idx="54">
                  <c:v>138.46648284313724</c:v>
                </c:pt>
                <c:pt idx="55">
                  <c:v>138.46648284313724</c:v>
                </c:pt>
                <c:pt idx="56">
                  <c:v>138.46648284313724</c:v>
                </c:pt>
                <c:pt idx="57">
                  <c:v>138.46648284313724</c:v>
                </c:pt>
                <c:pt idx="58">
                  <c:v>138.46648284313724</c:v>
                </c:pt>
                <c:pt idx="59">
                  <c:v>138.46648284313724</c:v>
                </c:pt>
                <c:pt idx="60">
                  <c:v>138.46648284313724</c:v>
                </c:pt>
                <c:pt idx="61">
                  <c:v>138.46648284313724</c:v>
                </c:pt>
                <c:pt idx="62">
                  <c:v>138.46648284313724</c:v>
                </c:pt>
                <c:pt idx="63">
                  <c:v>138.46648284313724</c:v>
                </c:pt>
                <c:pt idx="64">
                  <c:v>138.46648284313724</c:v>
                </c:pt>
                <c:pt idx="65">
                  <c:v>138.46648284313724</c:v>
                </c:pt>
                <c:pt idx="66">
                  <c:v>138.46648284313724</c:v>
                </c:pt>
                <c:pt idx="67">
                  <c:v>138.46648284313724</c:v>
                </c:pt>
                <c:pt idx="68">
                  <c:v>138.46648284313724</c:v>
                </c:pt>
                <c:pt idx="69">
                  <c:v>138.46648284313724</c:v>
                </c:pt>
                <c:pt idx="70">
                  <c:v>138.46648284313724</c:v>
                </c:pt>
                <c:pt idx="71">
                  <c:v>138.46648284313724</c:v>
                </c:pt>
                <c:pt idx="72">
                  <c:v>138.46648284313724</c:v>
                </c:pt>
                <c:pt idx="73">
                  <c:v>138.46648284313724</c:v>
                </c:pt>
                <c:pt idx="74">
                  <c:v>138.46648284313724</c:v>
                </c:pt>
                <c:pt idx="75">
                  <c:v>138.46648284313724</c:v>
                </c:pt>
                <c:pt idx="76">
                  <c:v>138.46648284313724</c:v>
                </c:pt>
                <c:pt idx="77">
                  <c:v>138.46648284313724</c:v>
                </c:pt>
                <c:pt idx="78">
                  <c:v>138.46648284313724</c:v>
                </c:pt>
                <c:pt idx="79">
                  <c:v>138.46648284313724</c:v>
                </c:pt>
                <c:pt idx="80">
                  <c:v>138.46648284313724</c:v>
                </c:pt>
                <c:pt idx="81">
                  <c:v>138.46648284313724</c:v>
                </c:pt>
                <c:pt idx="82">
                  <c:v>138.46648284313724</c:v>
                </c:pt>
                <c:pt idx="83">
                  <c:v>138.46648284313724</c:v>
                </c:pt>
                <c:pt idx="84">
                  <c:v>138.46648284313724</c:v>
                </c:pt>
                <c:pt idx="85">
                  <c:v>138.46648284313724</c:v>
                </c:pt>
                <c:pt idx="86">
                  <c:v>138.46648284313724</c:v>
                </c:pt>
                <c:pt idx="87">
                  <c:v>138.46648284313724</c:v>
                </c:pt>
                <c:pt idx="88">
                  <c:v>138.46648284313724</c:v>
                </c:pt>
                <c:pt idx="89">
                  <c:v>138.46648284313724</c:v>
                </c:pt>
                <c:pt idx="90">
                  <c:v>138.46648284313724</c:v>
                </c:pt>
                <c:pt idx="91">
                  <c:v>138.46648284313724</c:v>
                </c:pt>
                <c:pt idx="92">
                  <c:v>138.46648284313724</c:v>
                </c:pt>
                <c:pt idx="93">
                  <c:v>138.46648284313724</c:v>
                </c:pt>
                <c:pt idx="94">
                  <c:v>138.46648284313724</c:v>
                </c:pt>
                <c:pt idx="95">
                  <c:v>138.46648284313724</c:v>
                </c:pt>
                <c:pt idx="96">
                  <c:v>138.46648284313724</c:v>
                </c:pt>
                <c:pt idx="97">
                  <c:v>138.46648284313724</c:v>
                </c:pt>
                <c:pt idx="98">
                  <c:v>138.46648284313724</c:v>
                </c:pt>
                <c:pt idx="99">
                  <c:v>138.46648284313724</c:v>
                </c:pt>
              </c:numCache>
            </c:numRef>
          </c:val>
          <c:smooth val="0"/>
          <c:extLst xmlns:c16r2="http://schemas.microsoft.com/office/drawing/2015/06/chart">
            <c:ext xmlns:c16="http://schemas.microsoft.com/office/drawing/2014/chart" uri="{C3380CC4-5D6E-409C-BE32-E72D297353CC}">
              <c16:uniqueId val="{00000002-797C-4407-BE19-F9ADB1BFB646}"/>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55.386593137254899</c:v>
                </c:pt>
                <c:pt idx="1">
                  <c:v>55.386593137254899</c:v>
                </c:pt>
                <c:pt idx="2">
                  <c:v>55.386593137254899</c:v>
                </c:pt>
                <c:pt idx="3">
                  <c:v>55.386593137254899</c:v>
                </c:pt>
                <c:pt idx="4">
                  <c:v>55.386593137254899</c:v>
                </c:pt>
                <c:pt idx="5">
                  <c:v>55.386593137254899</c:v>
                </c:pt>
                <c:pt idx="6">
                  <c:v>55.386593137254899</c:v>
                </c:pt>
                <c:pt idx="7">
                  <c:v>55.386593137254899</c:v>
                </c:pt>
                <c:pt idx="8">
                  <c:v>55.386593137254899</c:v>
                </c:pt>
                <c:pt idx="9">
                  <c:v>55.386593137254899</c:v>
                </c:pt>
                <c:pt idx="10">
                  <c:v>55.386593137254899</c:v>
                </c:pt>
                <c:pt idx="11">
                  <c:v>55.386593137254899</c:v>
                </c:pt>
                <c:pt idx="12">
                  <c:v>55.386593137254899</c:v>
                </c:pt>
                <c:pt idx="13">
                  <c:v>55.386593137254899</c:v>
                </c:pt>
                <c:pt idx="14">
                  <c:v>55.386593137254899</c:v>
                </c:pt>
                <c:pt idx="15">
                  <c:v>55.386593137254899</c:v>
                </c:pt>
                <c:pt idx="16">
                  <c:v>55.386593137254899</c:v>
                </c:pt>
                <c:pt idx="17">
                  <c:v>55.386593137254899</c:v>
                </c:pt>
                <c:pt idx="18">
                  <c:v>55.386593137254899</c:v>
                </c:pt>
                <c:pt idx="19">
                  <c:v>55.386593137254899</c:v>
                </c:pt>
                <c:pt idx="20">
                  <c:v>55.386593137254899</c:v>
                </c:pt>
                <c:pt idx="21">
                  <c:v>55.386593137254899</c:v>
                </c:pt>
                <c:pt idx="22">
                  <c:v>55.386593137254899</c:v>
                </c:pt>
                <c:pt idx="23">
                  <c:v>55.386593137254899</c:v>
                </c:pt>
                <c:pt idx="24">
                  <c:v>55.386593137254899</c:v>
                </c:pt>
                <c:pt idx="25">
                  <c:v>55.386593137254899</c:v>
                </c:pt>
                <c:pt idx="26">
                  <c:v>55.386593137254899</c:v>
                </c:pt>
                <c:pt idx="27">
                  <c:v>55.386593137254899</c:v>
                </c:pt>
                <c:pt idx="28">
                  <c:v>55.386593137254899</c:v>
                </c:pt>
                <c:pt idx="29">
                  <c:v>55.386593137254899</c:v>
                </c:pt>
                <c:pt idx="30">
                  <c:v>55.386593137254899</c:v>
                </c:pt>
                <c:pt idx="31">
                  <c:v>55.386593137254899</c:v>
                </c:pt>
                <c:pt idx="32">
                  <c:v>55.386593137254899</c:v>
                </c:pt>
                <c:pt idx="33">
                  <c:v>55.386593137254899</c:v>
                </c:pt>
                <c:pt idx="34">
                  <c:v>55.386593137254899</c:v>
                </c:pt>
                <c:pt idx="35">
                  <c:v>55.386593137254899</c:v>
                </c:pt>
                <c:pt idx="36">
                  <c:v>55.386593137254899</c:v>
                </c:pt>
                <c:pt idx="37">
                  <c:v>55.386593137254899</c:v>
                </c:pt>
                <c:pt idx="38">
                  <c:v>55.386593137254899</c:v>
                </c:pt>
                <c:pt idx="39">
                  <c:v>55.386593137254899</c:v>
                </c:pt>
                <c:pt idx="40">
                  <c:v>55.386593137254899</c:v>
                </c:pt>
                <c:pt idx="41">
                  <c:v>55.386593137254899</c:v>
                </c:pt>
                <c:pt idx="42">
                  <c:v>55.386593137254899</c:v>
                </c:pt>
                <c:pt idx="43">
                  <c:v>55.386593137254899</c:v>
                </c:pt>
                <c:pt idx="44">
                  <c:v>55.386593137254899</c:v>
                </c:pt>
                <c:pt idx="45">
                  <c:v>55.386593137254899</c:v>
                </c:pt>
                <c:pt idx="46">
                  <c:v>55.386593137254899</c:v>
                </c:pt>
                <c:pt idx="47">
                  <c:v>55.386593137254899</c:v>
                </c:pt>
                <c:pt idx="48">
                  <c:v>55.386593137254899</c:v>
                </c:pt>
                <c:pt idx="49">
                  <c:v>55.386593137254899</c:v>
                </c:pt>
                <c:pt idx="50">
                  <c:v>55.386593137254899</c:v>
                </c:pt>
                <c:pt idx="51">
                  <c:v>55.386593137254899</c:v>
                </c:pt>
                <c:pt idx="52">
                  <c:v>55.386593137254899</c:v>
                </c:pt>
                <c:pt idx="53">
                  <c:v>55.386593137254899</c:v>
                </c:pt>
                <c:pt idx="54">
                  <c:v>55.386593137254899</c:v>
                </c:pt>
                <c:pt idx="55">
                  <c:v>55.386593137254899</c:v>
                </c:pt>
                <c:pt idx="56">
                  <c:v>55.386593137254899</c:v>
                </c:pt>
                <c:pt idx="57">
                  <c:v>55.386593137254899</c:v>
                </c:pt>
                <c:pt idx="58">
                  <c:v>55.386593137254899</c:v>
                </c:pt>
                <c:pt idx="59">
                  <c:v>55.386593137254899</c:v>
                </c:pt>
                <c:pt idx="60">
                  <c:v>55.386593137254899</c:v>
                </c:pt>
                <c:pt idx="61">
                  <c:v>55.386593137254899</c:v>
                </c:pt>
                <c:pt idx="62">
                  <c:v>55.386593137254899</c:v>
                </c:pt>
                <c:pt idx="63">
                  <c:v>55.386593137254899</c:v>
                </c:pt>
                <c:pt idx="64">
                  <c:v>55.386593137254899</c:v>
                </c:pt>
                <c:pt idx="65">
                  <c:v>55.386593137254899</c:v>
                </c:pt>
                <c:pt idx="66">
                  <c:v>55.386593137254899</c:v>
                </c:pt>
                <c:pt idx="67">
                  <c:v>55.386593137254899</c:v>
                </c:pt>
                <c:pt idx="68">
                  <c:v>55.386593137254899</c:v>
                </c:pt>
                <c:pt idx="69">
                  <c:v>55.386593137254899</c:v>
                </c:pt>
                <c:pt idx="70">
                  <c:v>55.386593137254899</c:v>
                </c:pt>
                <c:pt idx="71">
                  <c:v>55.386593137254899</c:v>
                </c:pt>
                <c:pt idx="72">
                  <c:v>55.386593137254899</c:v>
                </c:pt>
                <c:pt idx="73">
                  <c:v>55.386593137254899</c:v>
                </c:pt>
                <c:pt idx="74">
                  <c:v>55.386593137254899</c:v>
                </c:pt>
                <c:pt idx="75">
                  <c:v>55.386593137254899</c:v>
                </c:pt>
                <c:pt idx="76">
                  <c:v>55.386593137254899</c:v>
                </c:pt>
                <c:pt idx="77">
                  <c:v>55.386593137254899</c:v>
                </c:pt>
                <c:pt idx="78">
                  <c:v>55.386593137254899</c:v>
                </c:pt>
                <c:pt idx="79">
                  <c:v>55.386593137254899</c:v>
                </c:pt>
                <c:pt idx="80">
                  <c:v>55.386593137254899</c:v>
                </c:pt>
                <c:pt idx="81">
                  <c:v>55.386593137254899</c:v>
                </c:pt>
                <c:pt idx="82">
                  <c:v>55.386593137254899</c:v>
                </c:pt>
                <c:pt idx="83">
                  <c:v>55.386593137254899</c:v>
                </c:pt>
                <c:pt idx="84">
                  <c:v>55.386593137254899</c:v>
                </c:pt>
                <c:pt idx="85">
                  <c:v>55.386593137254899</c:v>
                </c:pt>
                <c:pt idx="86">
                  <c:v>55.386593137254899</c:v>
                </c:pt>
                <c:pt idx="87">
                  <c:v>55.386593137254899</c:v>
                </c:pt>
                <c:pt idx="88">
                  <c:v>55.386593137254899</c:v>
                </c:pt>
                <c:pt idx="89">
                  <c:v>55.386593137254899</c:v>
                </c:pt>
                <c:pt idx="90">
                  <c:v>55.386593137254899</c:v>
                </c:pt>
                <c:pt idx="91">
                  <c:v>55.386593137254899</c:v>
                </c:pt>
                <c:pt idx="92">
                  <c:v>55.386593137254899</c:v>
                </c:pt>
                <c:pt idx="93">
                  <c:v>55.386593137254899</c:v>
                </c:pt>
                <c:pt idx="94">
                  <c:v>55.386593137254899</c:v>
                </c:pt>
                <c:pt idx="95">
                  <c:v>55.386593137254899</c:v>
                </c:pt>
                <c:pt idx="96">
                  <c:v>55.386593137254899</c:v>
                </c:pt>
                <c:pt idx="97">
                  <c:v>55.386593137254899</c:v>
                </c:pt>
                <c:pt idx="98">
                  <c:v>55.386593137254899</c:v>
                </c:pt>
                <c:pt idx="99">
                  <c:v>55.386593137254899</c:v>
                </c:pt>
              </c:numCache>
            </c:numRef>
          </c:val>
          <c:smooth val="0"/>
          <c:extLst xmlns:c16r2="http://schemas.microsoft.com/office/drawing/2015/06/chart">
            <c:ext xmlns:c16="http://schemas.microsoft.com/office/drawing/2014/chart" uri="{C3380CC4-5D6E-409C-BE32-E72D297353CC}">
              <c16:uniqueId val="{00000003-797C-4407-BE19-F9ADB1BFB646}"/>
            </c:ext>
          </c:extLst>
        </c:ser>
        <c:dLbls>
          <c:showLegendKey val="0"/>
          <c:showVal val="0"/>
          <c:showCatName val="0"/>
          <c:showSerName val="0"/>
          <c:showPercent val="0"/>
          <c:showBubbleSize val="0"/>
        </c:dLbls>
        <c:marker val="1"/>
        <c:smooth val="0"/>
        <c:axId val="196139488"/>
        <c:axId val="196251680"/>
      </c:lineChart>
      <c:catAx>
        <c:axId val="196139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251680"/>
        <c:crosses val="autoZero"/>
        <c:auto val="1"/>
        <c:lblAlgn val="ctr"/>
        <c:lblOffset val="500"/>
        <c:tickLblSkip val="5"/>
        <c:noMultiLvlLbl val="0"/>
      </c:catAx>
      <c:valAx>
        <c:axId val="1962516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13948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89.174999999999997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821-4C06-AFAF-34600687F4EE}"/>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123.6</c:v>
                </c:pt>
                <c:pt idx="2">
                  <c:v>129.33750000000001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821-4C06-AFAF-34600687F4EE}"/>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142.875</c:v>
                </c:pt>
                <c:pt idx="4">
                  <c:v>148.61250000000001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C821-4C06-AFAF-34600687F4EE}"/>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164.98750000000001</c:v>
                </c:pt>
                <c:pt idx="6">
                  <c:v>170.72499999999999</c:v>
                </c:pt>
                <c:pt idx="7">
                  <c:v>170.72499999999999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C821-4C06-AFAF-34600687F4EE}"/>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196.27499999999998</c:v>
                </c:pt>
                <c:pt idx="9">
                  <c:v>196.27499999999998</c:v>
                </c:pt>
                <c:pt idx="10">
                  <c:v>211.35000000000002</c:v>
                </c:pt>
                <c:pt idx="11">
                  <c:v>211.35000000000002</c:v>
                </c:pt>
                <c:pt idx="12">
                  <c:v>220.1875</c:v>
                </c:pt>
                <c:pt idx="13">
                  <c:v>220.1875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C821-4C06-AFAF-34600687F4EE}"/>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233.46250000000001</c:v>
                </c:pt>
                <c:pt idx="15">
                  <c:v>233.46250000000001</c:v>
                </c:pt>
                <c:pt idx="16">
                  <c:v>241</c:v>
                </c:pt>
                <c:pt idx="17">
                  <c:v>241</c:v>
                </c:pt>
                <c:pt idx="18">
                  <c:v>248.73750000000001</c:v>
                </c:pt>
                <c:pt idx="19">
                  <c:v>248.73750000000001</c:v>
                </c:pt>
                <c:pt idx="20">
                  <c:v>256.77500000000003</c:v>
                </c:pt>
                <c:pt idx="21">
                  <c:v>256.77500000000003</c:v>
                </c:pt>
                <c:pt idx="22">
                  <c:v>259.27500000000003</c:v>
                </c:pt>
                <c:pt idx="23">
                  <c:v>259.27500000000003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C821-4C06-AFAF-34600687F4EE}"/>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266.61250000000001</c:v>
                </c:pt>
                <c:pt idx="25">
                  <c:v>266.61250000000001</c:v>
                </c:pt>
                <c:pt idx="26">
                  <c:v>274.04999999999995</c:v>
                </c:pt>
                <c:pt idx="27">
                  <c:v>274.04999999999995</c:v>
                </c:pt>
                <c:pt idx="28">
                  <c:v>281.08749999999998</c:v>
                </c:pt>
                <c:pt idx="29">
                  <c:v>281.08749999999998</c:v>
                </c:pt>
                <c:pt idx="30">
                  <c:v>282.48750000000001</c:v>
                </c:pt>
                <c:pt idx="31">
                  <c:v>282.48750000000001</c:v>
                </c:pt>
                <c:pt idx="32">
                  <c:v>290.22500000000002</c:v>
                </c:pt>
                <c:pt idx="33">
                  <c:v>290.22500000000002</c:v>
                </c:pt>
                <c:pt idx="34">
                  <c:v>297.26249999999999</c:v>
                </c:pt>
                <c:pt idx="35">
                  <c:v>297.26249999999999</c:v>
                </c:pt>
                <c:pt idx="36">
                  <c:v>299.26249999999999</c:v>
                </c:pt>
                <c:pt idx="37">
                  <c:v>299.26249999999999</c:v>
                </c:pt>
                <c:pt idx="38">
                  <c:v>306.7</c:v>
                </c:pt>
                <c:pt idx="39">
                  <c:v>306.7</c:v>
                </c:pt>
                <c:pt idx="40">
                  <c:v>314.13750000000005</c:v>
                </c:pt>
                <c:pt idx="41">
                  <c:v>314.13750000000005</c:v>
                </c:pt>
                <c:pt idx="42">
                  <c:v>315.53750000000002</c:v>
                </c:pt>
                <c:pt idx="43">
                  <c:v>315.53750000000002</c:v>
                </c:pt>
                <c:pt idx="44">
                  <c:v>322.375</c:v>
                </c:pt>
                <c:pt idx="45">
                  <c:v>322.375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C821-4C06-AFAF-34600687F4EE}"/>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329.51249999999999</c:v>
                </c:pt>
                <c:pt idx="47">
                  <c:v>329.51249999999999</c:v>
                </c:pt>
                <c:pt idx="48">
                  <c:v>331.01249999999999</c:v>
                </c:pt>
                <c:pt idx="49">
                  <c:v>331.01249999999999</c:v>
                </c:pt>
                <c:pt idx="50">
                  <c:v>337.65</c:v>
                </c:pt>
                <c:pt idx="51">
                  <c:v>337.65</c:v>
                </c:pt>
                <c:pt idx="52">
                  <c:v>344.58749999999998</c:v>
                </c:pt>
                <c:pt idx="53">
                  <c:v>344.58749999999998</c:v>
                </c:pt>
                <c:pt idx="54">
                  <c:v>346.6875</c:v>
                </c:pt>
                <c:pt idx="55">
                  <c:v>346.6875</c:v>
                </c:pt>
                <c:pt idx="56">
                  <c:v>354.52499999999998</c:v>
                </c:pt>
                <c:pt idx="57">
                  <c:v>354.52499999999998</c:v>
                </c:pt>
                <c:pt idx="58">
                  <c:v>362.66250000000002</c:v>
                </c:pt>
                <c:pt idx="59">
                  <c:v>362.66250000000002</c:v>
                </c:pt>
                <c:pt idx="60">
                  <c:v>364.5625</c:v>
                </c:pt>
                <c:pt idx="61">
                  <c:v>364.5625</c:v>
                </c:pt>
                <c:pt idx="62">
                  <c:v>371.80000000000007</c:v>
                </c:pt>
                <c:pt idx="63">
                  <c:v>371.80000000000007</c:v>
                </c:pt>
                <c:pt idx="64">
                  <c:v>379.03750000000002</c:v>
                </c:pt>
                <c:pt idx="65">
                  <c:v>379.03750000000002</c:v>
                </c:pt>
                <c:pt idx="66">
                  <c:v>380.73749999999995</c:v>
                </c:pt>
                <c:pt idx="67">
                  <c:v>380.73749999999995</c:v>
                </c:pt>
                <c:pt idx="68">
                  <c:v>388.17500000000001</c:v>
                </c:pt>
                <c:pt idx="69">
                  <c:v>388.17500000000001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C821-4C06-AFAF-34600687F4EE}"/>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395.31249999999994</c:v>
                </c:pt>
                <c:pt idx="71">
                  <c:v>395.31249999999994</c:v>
                </c:pt>
                <c:pt idx="72">
                  <c:v>402.34999999999997</c:v>
                </c:pt>
                <c:pt idx="73">
                  <c:v>402.34999999999997</c:v>
                </c:pt>
                <c:pt idx="74">
                  <c:v>404.04999999999995</c:v>
                </c:pt>
                <c:pt idx="75">
                  <c:v>404.04999999999995</c:v>
                </c:pt>
                <c:pt idx="76">
                  <c:v>411.48749999999995</c:v>
                </c:pt>
                <c:pt idx="77">
                  <c:v>411.48749999999995</c:v>
                </c:pt>
                <c:pt idx="78">
                  <c:v>419.02499999999998</c:v>
                </c:pt>
                <c:pt idx="79">
                  <c:v>419.02499999999998</c:v>
                </c:pt>
                <c:pt idx="80">
                  <c:v>426.96249999999998</c:v>
                </c:pt>
                <c:pt idx="81">
                  <c:v>426.96249999999998</c:v>
                </c:pt>
                <c:pt idx="82">
                  <c:v>434.1</c:v>
                </c:pt>
                <c:pt idx="83">
                  <c:v>434.1</c:v>
                </c:pt>
                <c:pt idx="84">
                  <c:v>441.23750000000001</c:v>
                </c:pt>
                <c:pt idx="85">
                  <c:v>441.23750000000001</c:v>
                </c:pt>
                <c:pt idx="86">
                  <c:v>448.47500000000002</c:v>
                </c:pt>
                <c:pt idx="87">
                  <c:v>448.47500000000002</c:v>
                </c:pt>
                <c:pt idx="88">
                  <c:v>467.6875</c:v>
                </c:pt>
                <c:pt idx="89">
                  <c:v>467.6875</c:v>
                </c:pt>
                <c:pt idx="90">
                  <c:v>481.0625</c:v>
                </c:pt>
                <c:pt idx="91">
                  <c:v>481.0625</c:v>
                </c:pt>
                <c:pt idx="92">
                  <c:v>507.41250000000002</c:v>
                </c:pt>
                <c:pt idx="93">
                  <c:v>507.41250000000002</c:v>
                </c:pt>
                <c:pt idx="94">
                  <c:v>523.6875</c:v>
                </c:pt>
                <c:pt idx="95">
                  <c:v>535.92500000000007</c:v>
                </c:pt>
                <c:pt idx="96">
                  <c:v>541.66249999999991</c:v>
                </c:pt>
                <c:pt idx="97">
                  <c:v>575.47500000000002</c:v>
                </c:pt>
                <c:pt idx="98">
                  <c:v>586.95000000000005</c:v>
                </c:pt>
                <c:pt idx="99">
                  <c:v>660.07500000000005</c:v>
                </c:pt>
              </c:numCache>
            </c:numRef>
          </c:val>
          <c:extLst xmlns:c16r2="http://schemas.microsoft.com/office/drawing/2015/06/chart">
            <c:ext xmlns:c16="http://schemas.microsoft.com/office/drawing/2014/chart" uri="{C3380CC4-5D6E-409C-BE32-E72D297353CC}">
              <c16:uniqueId val="{00000008-C821-4C06-AFAF-34600687F4EE}"/>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295.10833078883383</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C821-4C06-AFAF-34600687F4EE}"/>
            </c:ext>
          </c:extLst>
        </c:ser>
        <c:dLbls>
          <c:showLegendKey val="0"/>
          <c:showVal val="0"/>
          <c:showCatName val="0"/>
          <c:showSerName val="0"/>
          <c:showPercent val="0"/>
          <c:showBubbleSize val="0"/>
        </c:dLbls>
        <c:gapWidth val="0"/>
        <c:overlap val="100"/>
        <c:axId val="196585392"/>
        <c:axId val="19658595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272.20242034313725</c:v>
                </c:pt>
                <c:pt idx="1">
                  <c:v>272.20242034313725</c:v>
                </c:pt>
                <c:pt idx="2">
                  <c:v>272.20242034313725</c:v>
                </c:pt>
                <c:pt idx="3">
                  <c:v>272.20242034313725</c:v>
                </c:pt>
                <c:pt idx="4">
                  <c:v>272.20242034313725</c:v>
                </c:pt>
                <c:pt idx="5">
                  <c:v>272.20242034313725</c:v>
                </c:pt>
                <c:pt idx="6">
                  <c:v>272.20242034313725</c:v>
                </c:pt>
                <c:pt idx="7">
                  <c:v>272.20242034313725</c:v>
                </c:pt>
                <c:pt idx="8">
                  <c:v>272.20242034313725</c:v>
                </c:pt>
                <c:pt idx="9">
                  <c:v>272.20242034313725</c:v>
                </c:pt>
                <c:pt idx="10">
                  <c:v>272.20242034313725</c:v>
                </c:pt>
                <c:pt idx="11">
                  <c:v>272.20242034313725</c:v>
                </c:pt>
                <c:pt idx="12">
                  <c:v>272.20242034313725</c:v>
                </c:pt>
                <c:pt idx="13">
                  <c:v>272.20242034313725</c:v>
                </c:pt>
                <c:pt idx="14">
                  <c:v>272.20242034313725</c:v>
                </c:pt>
                <c:pt idx="15">
                  <c:v>272.20242034313725</c:v>
                </c:pt>
                <c:pt idx="16">
                  <c:v>272.20242034313725</c:v>
                </c:pt>
                <c:pt idx="17">
                  <c:v>272.20242034313725</c:v>
                </c:pt>
                <c:pt idx="18">
                  <c:v>272.20242034313725</c:v>
                </c:pt>
                <c:pt idx="19">
                  <c:v>272.20242034313725</c:v>
                </c:pt>
                <c:pt idx="20">
                  <c:v>272.20242034313725</c:v>
                </c:pt>
                <c:pt idx="21">
                  <c:v>272.20242034313725</c:v>
                </c:pt>
                <c:pt idx="22">
                  <c:v>272.20242034313725</c:v>
                </c:pt>
                <c:pt idx="23">
                  <c:v>272.20242034313725</c:v>
                </c:pt>
                <c:pt idx="24">
                  <c:v>272.20242034313725</c:v>
                </c:pt>
                <c:pt idx="25">
                  <c:v>272.20242034313725</c:v>
                </c:pt>
                <c:pt idx="26">
                  <c:v>272.20242034313725</c:v>
                </c:pt>
                <c:pt idx="27">
                  <c:v>272.20242034313725</c:v>
                </c:pt>
                <c:pt idx="28">
                  <c:v>272.20242034313725</c:v>
                </c:pt>
                <c:pt idx="29">
                  <c:v>272.20242034313725</c:v>
                </c:pt>
                <c:pt idx="30">
                  <c:v>272.20242034313725</c:v>
                </c:pt>
                <c:pt idx="31">
                  <c:v>272.20242034313725</c:v>
                </c:pt>
                <c:pt idx="32">
                  <c:v>272.20242034313725</c:v>
                </c:pt>
                <c:pt idx="33">
                  <c:v>272.20242034313725</c:v>
                </c:pt>
                <c:pt idx="34">
                  <c:v>272.20242034313725</c:v>
                </c:pt>
                <c:pt idx="35">
                  <c:v>272.20242034313725</c:v>
                </c:pt>
                <c:pt idx="36">
                  <c:v>272.20242034313725</c:v>
                </c:pt>
                <c:pt idx="37">
                  <c:v>272.20242034313725</c:v>
                </c:pt>
                <c:pt idx="38">
                  <c:v>272.20242034313725</c:v>
                </c:pt>
                <c:pt idx="39">
                  <c:v>272.20242034313725</c:v>
                </c:pt>
                <c:pt idx="40">
                  <c:v>272.20242034313725</c:v>
                </c:pt>
                <c:pt idx="41">
                  <c:v>272.20242034313725</c:v>
                </c:pt>
                <c:pt idx="42">
                  <c:v>272.20242034313725</c:v>
                </c:pt>
                <c:pt idx="43">
                  <c:v>272.20242034313725</c:v>
                </c:pt>
                <c:pt idx="44">
                  <c:v>272.20242034313725</c:v>
                </c:pt>
                <c:pt idx="45">
                  <c:v>272.20242034313725</c:v>
                </c:pt>
                <c:pt idx="46">
                  <c:v>272.20242034313725</c:v>
                </c:pt>
                <c:pt idx="47">
                  <c:v>272.20242034313725</c:v>
                </c:pt>
                <c:pt idx="48">
                  <c:v>272.20242034313725</c:v>
                </c:pt>
                <c:pt idx="49">
                  <c:v>272.20242034313725</c:v>
                </c:pt>
                <c:pt idx="50">
                  <c:v>272.20242034313725</c:v>
                </c:pt>
                <c:pt idx="51">
                  <c:v>272.20242034313725</c:v>
                </c:pt>
                <c:pt idx="52">
                  <c:v>272.20242034313725</c:v>
                </c:pt>
                <c:pt idx="53">
                  <c:v>272.20242034313725</c:v>
                </c:pt>
                <c:pt idx="54">
                  <c:v>272.20242034313725</c:v>
                </c:pt>
                <c:pt idx="55">
                  <c:v>272.20242034313725</c:v>
                </c:pt>
                <c:pt idx="56">
                  <c:v>272.20242034313725</c:v>
                </c:pt>
                <c:pt idx="57">
                  <c:v>272.20242034313725</c:v>
                </c:pt>
                <c:pt idx="58">
                  <c:v>272.20242034313725</c:v>
                </c:pt>
                <c:pt idx="59">
                  <c:v>272.20242034313725</c:v>
                </c:pt>
                <c:pt idx="60">
                  <c:v>272.20242034313725</c:v>
                </c:pt>
                <c:pt idx="61">
                  <c:v>272.20242034313725</c:v>
                </c:pt>
                <c:pt idx="62">
                  <c:v>272.20242034313725</c:v>
                </c:pt>
                <c:pt idx="63">
                  <c:v>272.20242034313725</c:v>
                </c:pt>
                <c:pt idx="64">
                  <c:v>272.20242034313725</c:v>
                </c:pt>
                <c:pt idx="65">
                  <c:v>272.20242034313725</c:v>
                </c:pt>
                <c:pt idx="66">
                  <c:v>272.20242034313725</c:v>
                </c:pt>
                <c:pt idx="67">
                  <c:v>272.20242034313725</c:v>
                </c:pt>
                <c:pt idx="68">
                  <c:v>272.20242034313725</c:v>
                </c:pt>
                <c:pt idx="69">
                  <c:v>272.20242034313725</c:v>
                </c:pt>
                <c:pt idx="70">
                  <c:v>272.20242034313725</c:v>
                </c:pt>
                <c:pt idx="71">
                  <c:v>272.20242034313725</c:v>
                </c:pt>
                <c:pt idx="72">
                  <c:v>272.20242034313725</c:v>
                </c:pt>
                <c:pt idx="73">
                  <c:v>272.20242034313725</c:v>
                </c:pt>
                <c:pt idx="74">
                  <c:v>272.20242034313725</c:v>
                </c:pt>
                <c:pt idx="75">
                  <c:v>272.20242034313725</c:v>
                </c:pt>
                <c:pt idx="76">
                  <c:v>272.20242034313725</c:v>
                </c:pt>
                <c:pt idx="77">
                  <c:v>272.20242034313725</c:v>
                </c:pt>
                <c:pt idx="78">
                  <c:v>272.20242034313725</c:v>
                </c:pt>
                <c:pt idx="79">
                  <c:v>272.20242034313725</c:v>
                </c:pt>
                <c:pt idx="80">
                  <c:v>272.20242034313725</c:v>
                </c:pt>
                <c:pt idx="81">
                  <c:v>272.20242034313725</c:v>
                </c:pt>
                <c:pt idx="82">
                  <c:v>272.20242034313725</c:v>
                </c:pt>
                <c:pt idx="83">
                  <c:v>272.20242034313725</c:v>
                </c:pt>
                <c:pt idx="84">
                  <c:v>272.20242034313725</c:v>
                </c:pt>
                <c:pt idx="85">
                  <c:v>272.20242034313725</c:v>
                </c:pt>
                <c:pt idx="86">
                  <c:v>272.20242034313725</c:v>
                </c:pt>
                <c:pt idx="87">
                  <c:v>272.20242034313725</c:v>
                </c:pt>
                <c:pt idx="88">
                  <c:v>272.20242034313725</c:v>
                </c:pt>
                <c:pt idx="89">
                  <c:v>272.20242034313725</c:v>
                </c:pt>
                <c:pt idx="90">
                  <c:v>272.20242034313725</c:v>
                </c:pt>
                <c:pt idx="91">
                  <c:v>272.20242034313725</c:v>
                </c:pt>
                <c:pt idx="92">
                  <c:v>272.20242034313725</c:v>
                </c:pt>
                <c:pt idx="93">
                  <c:v>272.20242034313725</c:v>
                </c:pt>
                <c:pt idx="94">
                  <c:v>272.20242034313725</c:v>
                </c:pt>
                <c:pt idx="95">
                  <c:v>272.20242034313725</c:v>
                </c:pt>
                <c:pt idx="96">
                  <c:v>272.20242034313725</c:v>
                </c:pt>
                <c:pt idx="97">
                  <c:v>272.20242034313725</c:v>
                </c:pt>
                <c:pt idx="98">
                  <c:v>272.20242034313725</c:v>
                </c:pt>
                <c:pt idx="99">
                  <c:v>272.20242034313725</c:v>
                </c:pt>
              </c:numCache>
            </c:numRef>
          </c:val>
          <c:smooth val="0"/>
          <c:extLst xmlns:c16r2="http://schemas.microsoft.com/office/drawing/2015/06/chart">
            <c:ext xmlns:c16="http://schemas.microsoft.com/office/drawing/2014/chart" uri="{C3380CC4-5D6E-409C-BE32-E72D297353CC}">
              <c16:uniqueId val="{0000000A-C821-4C06-AFAF-34600687F4EE}"/>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114.88096813725491</c:v>
                </c:pt>
                <c:pt idx="1">
                  <c:v>114.88096813725491</c:v>
                </c:pt>
                <c:pt idx="2">
                  <c:v>114.88096813725491</c:v>
                </c:pt>
                <c:pt idx="3">
                  <c:v>114.88096813725491</c:v>
                </c:pt>
                <c:pt idx="4">
                  <c:v>114.88096813725491</c:v>
                </c:pt>
                <c:pt idx="5">
                  <c:v>114.88096813725491</c:v>
                </c:pt>
                <c:pt idx="6">
                  <c:v>114.88096813725491</c:v>
                </c:pt>
                <c:pt idx="7">
                  <c:v>114.88096813725491</c:v>
                </c:pt>
                <c:pt idx="8">
                  <c:v>114.88096813725491</c:v>
                </c:pt>
                <c:pt idx="9">
                  <c:v>114.88096813725491</c:v>
                </c:pt>
                <c:pt idx="10">
                  <c:v>114.88096813725491</c:v>
                </c:pt>
                <c:pt idx="11">
                  <c:v>114.88096813725491</c:v>
                </c:pt>
                <c:pt idx="12">
                  <c:v>114.88096813725491</c:v>
                </c:pt>
                <c:pt idx="13">
                  <c:v>114.88096813725491</c:v>
                </c:pt>
                <c:pt idx="14">
                  <c:v>114.88096813725491</c:v>
                </c:pt>
                <c:pt idx="15">
                  <c:v>114.88096813725491</c:v>
                </c:pt>
                <c:pt idx="16">
                  <c:v>114.88096813725491</c:v>
                </c:pt>
                <c:pt idx="17">
                  <c:v>114.88096813725491</c:v>
                </c:pt>
                <c:pt idx="18">
                  <c:v>114.88096813725491</c:v>
                </c:pt>
                <c:pt idx="19">
                  <c:v>114.88096813725491</c:v>
                </c:pt>
                <c:pt idx="20">
                  <c:v>114.88096813725491</c:v>
                </c:pt>
                <c:pt idx="21">
                  <c:v>114.88096813725491</c:v>
                </c:pt>
                <c:pt idx="22">
                  <c:v>114.88096813725491</c:v>
                </c:pt>
                <c:pt idx="23">
                  <c:v>114.88096813725491</c:v>
                </c:pt>
                <c:pt idx="24">
                  <c:v>114.88096813725491</c:v>
                </c:pt>
                <c:pt idx="25">
                  <c:v>114.88096813725491</c:v>
                </c:pt>
                <c:pt idx="26">
                  <c:v>114.88096813725491</c:v>
                </c:pt>
                <c:pt idx="27">
                  <c:v>114.88096813725491</c:v>
                </c:pt>
                <c:pt idx="28">
                  <c:v>114.88096813725491</c:v>
                </c:pt>
                <c:pt idx="29">
                  <c:v>114.88096813725491</c:v>
                </c:pt>
                <c:pt idx="30">
                  <c:v>114.88096813725491</c:v>
                </c:pt>
                <c:pt idx="31">
                  <c:v>114.88096813725491</c:v>
                </c:pt>
                <c:pt idx="32">
                  <c:v>114.88096813725491</c:v>
                </c:pt>
                <c:pt idx="33">
                  <c:v>114.88096813725491</c:v>
                </c:pt>
                <c:pt idx="34">
                  <c:v>114.88096813725491</c:v>
                </c:pt>
                <c:pt idx="35">
                  <c:v>114.88096813725491</c:v>
                </c:pt>
                <c:pt idx="36">
                  <c:v>114.88096813725491</c:v>
                </c:pt>
                <c:pt idx="37">
                  <c:v>114.88096813725491</c:v>
                </c:pt>
                <c:pt idx="38">
                  <c:v>114.88096813725491</c:v>
                </c:pt>
                <c:pt idx="39">
                  <c:v>114.88096813725491</c:v>
                </c:pt>
                <c:pt idx="40">
                  <c:v>114.88096813725491</c:v>
                </c:pt>
                <c:pt idx="41">
                  <c:v>114.88096813725491</c:v>
                </c:pt>
                <c:pt idx="42">
                  <c:v>114.88096813725491</c:v>
                </c:pt>
                <c:pt idx="43">
                  <c:v>114.88096813725491</c:v>
                </c:pt>
                <c:pt idx="44">
                  <c:v>114.88096813725491</c:v>
                </c:pt>
                <c:pt idx="45">
                  <c:v>114.88096813725491</c:v>
                </c:pt>
                <c:pt idx="46">
                  <c:v>114.88096813725491</c:v>
                </c:pt>
                <c:pt idx="47">
                  <c:v>114.88096813725491</c:v>
                </c:pt>
                <c:pt idx="48">
                  <c:v>114.88096813725491</c:v>
                </c:pt>
                <c:pt idx="49">
                  <c:v>114.88096813725491</c:v>
                </c:pt>
                <c:pt idx="50">
                  <c:v>114.88096813725491</c:v>
                </c:pt>
                <c:pt idx="51">
                  <c:v>114.88096813725491</c:v>
                </c:pt>
                <c:pt idx="52">
                  <c:v>114.88096813725491</c:v>
                </c:pt>
                <c:pt idx="53">
                  <c:v>114.88096813725491</c:v>
                </c:pt>
                <c:pt idx="54">
                  <c:v>114.88096813725491</c:v>
                </c:pt>
                <c:pt idx="55">
                  <c:v>114.88096813725491</c:v>
                </c:pt>
                <c:pt idx="56">
                  <c:v>114.88096813725491</c:v>
                </c:pt>
                <c:pt idx="57">
                  <c:v>114.88096813725491</c:v>
                </c:pt>
                <c:pt idx="58">
                  <c:v>114.88096813725491</c:v>
                </c:pt>
                <c:pt idx="59">
                  <c:v>114.88096813725491</c:v>
                </c:pt>
                <c:pt idx="60">
                  <c:v>114.88096813725491</c:v>
                </c:pt>
                <c:pt idx="61">
                  <c:v>114.88096813725491</c:v>
                </c:pt>
                <c:pt idx="62">
                  <c:v>114.88096813725491</c:v>
                </c:pt>
                <c:pt idx="63">
                  <c:v>114.88096813725491</c:v>
                </c:pt>
                <c:pt idx="64">
                  <c:v>114.88096813725491</c:v>
                </c:pt>
                <c:pt idx="65">
                  <c:v>114.88096813725491</c:v>
                </c:pt>
                <c:pt idx="66">
                  <c:v>114.88096813725491</c:v>
                </c:pt>
                <c:pt idx="67">
                  <c:v>114.88096813725491</c:v>
                </c:pt>
                <c:pt idx="68">
                  <c:v>114.88096813725491</c:v>
                </c:pt>
                <c:pt idx="69">
                  <c:v>114.88096813725491</c:v>
                </c:pt>
                <c:pt idx="70">
                  <c:v>114.88096813725491</c:v>
                </c:pt>
                <c:pt idx="71">
                  <c:v>114.88096813725491</c:v>
                </c:pt>
                <c:pt idx="72">
                  <c:v>114.88096813725491</c:v>
                </c:pt>
                <c:pt idx="73">
                  <c:v>114.88096813725491</c:v>
                </c:pt>
                <c:pt idx="74">
                  <c:v>114.88096813725491</c:v>
                </c:pt>
                <c:pt idx="75">
                  <c:v>114.88096813725491</c:v>
                </c:pt>
                <c:pt idx="76">
                  <c:v>114.88096813725491</c:v>
                </c:pt>
                <c:pt idx="77">
                  <c:v>114.88096813725491</c:v>
                </c:pt>
                <c:pt idx="78">
                  <c:v>114.88096813725491</c:v>
                </c:pt>
                <c:pt idx="79">
                  <c:v>114.88096813725491</c:v>
                </c:pt>
                <c:pt idx="80">
                  <c:v>114.88096813725491</c:v>
                </c:pt>
                <c:pt idx="81">
                  <c:v>114.88096813725491</c:v>
                </c:pt>
                <c:pt idx="82">
                  <c:v>114.88096813725491</c:v>
                </c:pt>
                <c:pt idx="83">
                  <c:v>114.88096813725491</c:v>
                </c:pt>
                <c:pt idx="84">
                  <c:v>114.88096813725491</c:v>
                </c:pt>
                <c:pt idx="85">
                  <c:v>114.88096813725491</c:v>
                </c:pt>
                <c:pt idx="86">
                  <c:v>114.88096813725491</c:v>
                </c:pt>
                <c:pt idx="87">
                  <c:v>114.88096813725491</c:v>
                </c:pt>
                <c:pt idx="88">
                  <c:v>114.88096813725491</c:v>
                </c:pt>
                <c:pt idx="89">
                  <c:v>114.88096813725491</c:v>
                </c:pt>
                <c:pt idx="90">
                  <c:v>114.88096813725491</c:v>
                </c:pt>
                <c:pt idx="91">
                  <c:v>114.88096813725491</c:v>
                </c:pt>
                <c:pt idx="92">
                  <c:v>114.88096813725491</c:v>
                </c:pt>
                <c:pt idx="93">
                  <c:v>114.88096813725491</c:v>
                </c:pt>
                <c:pt idx="94">
                  <c:v>114.88096813725491</c:v>
                </c:pt>
                <c:pt idx="95">
                  <c:v>114.88096813725491</c:v>
                </c:pt>
                <c:pt idx="96">
                  <c:v>114.88096813725491</c:v>
                </c:pt>
                <c:pt idx="97">
                  <c:v>114.88096813725491</c:v>
                </c:pt>
                <c:pt idx="98">
                  <c:v>114.88096813725491</c:v>
                </c:pt>
                <c:pt idx="99">
                  <c:v>114.88096813725491</c:v>
                </c:pt>
              </c:numCache>
            </c:numRef>
          </c:val>
          <c:smooth val="1"/>
          <c:extLst xmlns:c16r2="http://schemas.microsoft.com/office/drawing/2015/06/chart">
            <c:ext xmlns:c16="http://schemas.microsoft.com/office/drawing/2014/chart" uri="{C3380CC4-5D6E-409C-BE32-E72D297353CC}">
              <c16:uniqueId val="{0000000B-C821-4C06-AFAF-34600687F4EE}"/>
            </c:ext>
          </c:extLst>
        </c:ser>
        <c:dLbls>
          <c:showLegendKey val="0"/>
          <c:showVal val="0"/>
          <c:showCatName val="0"/>
          <c:showSerName val="0"/>
          <c:showPercent val="0"/>
          <c:showBubbleSize val="0"/>
        </c:dLbls>
        <c:marker val="1"/>
        <c:smooth val="0"/>
        <c:axId val="196585392"/>
        <c:axId val="196585952"/>
      </c:lineChart>
      <c:catAx>
        <c:axId val="196585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6585952"/>
        <c:crosses val="autoZero"/>
        <c:auto val="1"/>
        <c:lblAlgn val="ctr"/>
        <c:lblOffset val="500"/>
        <c:tickLblSkip val="5"/>
        <c:tickMarkSkip val="10"/>
        <c:noMultiLvlLbl val="0"/>
      </c:catAx>
      <c:valAx>
        <c:axId val="1965859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585392"/>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xmlns:c16r2="http://schemas.microsoft.com/office/drawing/2015/06/chart">
            <c:ext xmlns:c16="http://schemas.microsoft.com/office/drawing/2014/chart" uri="{C3380CC4-5D6E-409C-BE32-E72D297353CC}">
              <c16:uniqueId val="{00000000-395A-49E2-AFEA-DF22D82253D5}"/>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3.4169742898780886E-2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395A-49E2-AFEA-DF22D82253D5}"/>
            </c:ext>
          </c:extLst>
        </c:ser>
        <c:dLbls>
          <c:showLegendKey val="0"/>
          <c:showVal val="0"/>
          <c:showCatName val="0"/>
          <c:showSerName val="0"/>
          <c:showPercent val="0"/>
          <c:showBubbleSize val="0"/>
        </c:dLbls>
        <c:gapWidth val="0"/>
        <c:overlap val="100"/>
        <c:axId val="196590432"/>
        <c:axId val="1965909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1.9823257080610023E-2</c:v>
                </c:pt>
                <c:pt idx="1">
                  <c:v>1.9823257080610023E-2</c:v>
                </c:pt>
                <c:pt idx="2">
                  <c:v>1.9823257080610023E-2</c:v>
                </c:pt>
                <c:pt idx="3">
                  <c:v>1.9823257080610023E-2</c:v>
                </c:pt>
                <c:pt idx="4">
                  <c:v>1.9823257080610023E-2</c:v>
                </c:pt>
                <c:pt idx="5">
                  <c:v>1.9823257080610023E-2</c:v>
                </c:pt>
                <c:pt idx="6">
                  <c:v>1.9823257080610023E-2</c:v>
                </c:pt>
                <c:pt idx="7">
                  <c:v>1.9823257080610023E-2</c:v>
                </c:pt>
                <c:pt idx="8">
                  <c:v>1.9823257080610023E-2</c:v>
                </c:pt>
                <c:pt idx="9">
                  <c:v>1.9823257080610023E-2</c:v>
                </c:pt>
                <c:pt idx="10">
                  <c:v>1.9823257080610023E-2</c:v>
                </c:pt>
                <c:pt idx="11">
                  <c:v>1.9823257080610023E-2</c:v>
                </c:pt>
                <c:pt idx="12">
                  <c:v>1.9823257080610023E-2</c:v>
                </c:pt>
                <c:pt idx="13">
                  <c:v>1.9823257080610023E-2</c:v>
                </c:pt>
                <c:pt idx="14">
                  <c:v>1.9823257080610023E-2</c:v>
                </c:pt>
                <c:pt idx="15">
                  <c:v>1.9823257080610023E-2</c:v>
                </c:pt>
                <c:pt idx="16">
                  <c:v>1.9823257080610023E-2</c:v>
                </c:pt>
                <c:pt idx="17">
                  <c:v>1.9823257080610023E-2</c:v>
                </c:pt>
                <c:pt idx="18">
                  <c:v>1.9823257080610023E-2</c:v>
                </c:pt>
                <c:pt idx="19">
                  <c:v>1.9823257080610023E-2</c:v>
                </c:pt>
                <c:pt idx="20">
                  <c:v>1.9823257080610023E-2</c:v>
                </c:pt>
                <c:pt idx="21">
                  <c:v>1.9823257080610023E-2</c:v>
                </c:pt>
                <c:pt idx="22">
                  <c:v>1.9823257080610023E-2</c:v>
                </c:pt>
                <c:pt idx="23">
                  <c:v>1.9823257080610023E-2</c:v>
                </c:pt>
                <c:pt idx="24">
                  <c:v>1.9823257080610023E-2</c:v>
                </c:pt>
                <c:pt idx="25">
                  <c:v>1.9823257080610023E-2</c:v>
                </c:pt>
                <c:pt idx="26">
                  <c:v>1.9823257080610023E-2</c:v>
                </c:pt>
                <c:pt idx="27">
                  <c:v>1.9823257080610023E-2</c:v>
                </c:pt>
                <c:pt idx="28">
                  <c:v>1.9823257080610023E-2</c:v>
                </c:pt>
                <c:pt idx="29">
                  <c:v>1.9823257080610023E-2</c:v>
                </c:pt>
                <c:pt idx="30">
                  <c:v>1.9823257080610023E-2</c:v>
                </c:pt>
                <c:pt idx="31">
                  <c:v>1.9823257080610023E-2</c:v>
                </c:pt>
                <c:pt idx="32">
                  <c:v>1.9823257080610023E-2</c:v>
                </c:pt>
                <c:pt idx="33">
                  <c:v>1.9823257080610023E-2</c:v>
                </c:pt>
                <c:pt idx="34">
                  <c:v>1.9823257080610023E-2</c:v>
                </c:pt>
                <c:pt idx="35">
                  <c:v>1.9823257080610023E-2</c:v>
                </c:pt>
                <c:pt idx="36">
                  <c:v>1.9823257080610023E-2</c:v>
                </c:pt>
                <c:pt idx="37">
                  <c:v>1.9823257080610023E-2</c:v>
                </c:pt>
                <c:pt idx="38">
                  <c:v>1.9823257080610023E-2</c:v>
                </c:pt>
                <c:pt idx="39">
                  <c:v>1.9823257080610023E-2</c:v>
                </c:pt>
                <c:pt idx="40">
                  <c:v>1.9823257080610023E-2</c:v>
                </c:pt>
                <c:pt idx="41">
                  <c:v>1.9823257080610023E-2</c:v>
                </c:pt>
                <c:pt idx="42">
                  <c:v>1.9823257080610023E-2</c:v>
                </c:pt>
                <c:pt idx="43">
                  <c:v>1.9823257080610023E-2</c:v>
                </c:pt>
                <c:pt idx="44">
                  <c:v>1.9823257080610023E-2</c:v>
                </c:pt>
                <c:pt idx="45">
                  <c:v>1.9823257080610023E-2</c:v>
                </c:pt>
                <c:pt idx="46">
                  <c:v>1.9823257080610023E-2</c:v>
                </c:pt>
                <c:pt idx="47">
                  <c:v>1.9823257080610023E-2</c:v>
                </c:pt>
                <c:pt idx="48">
                  <c:v>1.9823257080610023E-2</c:v>
                </c:pt>
                <c:pt idx="49">
                  <c:v>1.9823257080610023E-2</c:v>
                </c:pt>
                <c:pt idx="50">
                  <c:v>1.9823257080610023E-2</c:v>
                </c:pt>
                <c:pt idx="51">
                  <c:v>1.9823257080610023E-2</c:v>
                </c:pt>
                <c:pt idx="52">
                  <c:v>1.9823257080610023E-2</c:v>
                </c:pt>
                <c:pt idx="53">
                  <c:v>1.9823257080610023E-2</c:v>
                </c:pt>
                <c:pt idx="54">
                  <c:v>1.9823257080610023E-2</c:v>
                </c:pt>
                <c:pt idx="55">
                  <c:v>1.9823257080610023E-2</c:v>
                </c:pt>
                <c:pt idx="56">
                  <c:v>1.9823257080610023E-2</c:v>
                </c:pt>
                <c:pt idx="57">
                  <c:v>1.9823257080610023E-2</c:v>
                </c:pt>
                <c:pt idx="58">
                  <c:v>1.9823257080610023E-2</c:v>
                </c:pt>
                <c:pt idx="59">
                  <c:v>1.9823257080610023E-2</c:v>
                </c:pt>
                <c:pt idx="60">
                  <c:v>1.9823257080610023E-2</c:v>
                </c:pt>
                <c:pt idx="61">
                  <c:v>1.9823257080610023E-2</c:v>
                </c:pt>
                <c:pt idx="62">
                  <c:v>1.9823257080610023E-2</c:v>
                </c:pt>
                <c:pt idx="63">
                  <c:v>1.9823257080610023E-2</c:v>
                </c:pt>
                <c:pt idx="64">
                  <c:v>1.9823257080610023E-2</c:v>
                </c:pt>
                <c:pt idx="65">
                  <c:v>1.9823257080610023E-2</c:v>
                </c:pt>
                <c:pt idx="66">
                  <c:v>1.9823257080610023E-2</c:v>
                </c:pt>
                <c:pt idx="67">
                  <c:v>1.9823257080610023E-2</c:v>
                </c:pt>
                <c:pt idx="68">
                  <c:v>1.9823257080610023E-2</c:v>
                </c:pt>
                <c:pt idx="69">
                  <c:v>1.9823257080610023E-2</c:v>
                </c:pt>
                <c:pt idx="70">
                  <c:v>1.9823257080610023E-2</c:v>
                </c:pt>
                <c:pt idx="71">
                  <c:v>1.9823257080610023E-2</c:v>
                </c:pt>
                <c:pt idx="72">
                  <c:v>1.9823257080610023E-2</c:v>
                </c:pt>
                <c:pt idx="73">
                  <c:v>1.9823257080610023E-2</c:v>
                </c:pt>
                <c:pt idx="74">
                  <c:v>1.9823257080610023E-2</c:v>
                </c:pt>
                <c:pt idx="75">
                  <c:v>1.9823257080610023E-2</c:v>
                </c:pt>
                <c:pt idx="76">
                  <c:v>1.9823257080610023E-2</c:v>
                </c:pt>
                <c:pt idx="77">
                  <c:v>1.9823257080610023E-2</c:v>
                </c:pt>
                <c:pt idx="78">
                  <c:v>1.9823257080610023E-2</c:v>
                </c:pt>
                <c:pt idx="79">
                  <c:v>1.9823257080610023E-2</c:v>
                </c:pt>
                <c:pt idx="80">
                  <c:v>1.9823257080610023E-2</c:v>
                </c:pt>
                <c:pt idx="81">
                  <c:v>1.9823257080610023E-2</c:v>
                </c:pt>
                <c:pt idx="82">
                  <c:v>1.9823257080610023E-2</c:v>
                </c:pt>
                <c:pt idx="83">
                  <c:v>1.9823257080610023E-2</c:v>
                </c:pt>
                <c:pt idx="84">
                  <c:v>1.9823257080610023E-2</c:v>
                </c:pt>
                <c:pt idx="85">
                  <c:v>1.9823257080610023E-2</c:v>
                </c:pt>
                <c:pt idx="86">
                  <c:v>1.9823257080610023E-2</c:v>
                </c:pt>
                <c:pt idx="87">
                  <c:v>1.9823257080610023E-2</c:v>
                </c:pt>
                <c:pt idx="88">
                  <c:v>1.9823257080610023E-2</c:v>
                </c:pt>
                <c:pt idx="89">
                  <c:v>1.9823257080610023E-2</c:v>
                </c:pt>
                <c:pt idx="90">
                  <c:v>1.9823257080610023E-2</c:v>
                </c:pt>
                <c:pt idx="91">
                  <c:v>1.9823257080610023E-2</c:v>
                </c:pt>
                <c:pt idx="92">
                  <c:v>1.9823257080610023E-2</c:v>
                </c:pt>
                <c:pt idx="93">
                  <c:v>1.9823257080610023E-2</c:v>
                </c:pt>
                <c:pt idx="94">
                  <c:v>1.9823257080610023E-2</c:v>
                </c:pt>
                <c:pt idx="95">
                  <c:v>1.9823257080610023E-2</c:v>
                </c:pt>
                <c:pt idx="96">
                  <c:v>1.9823257080610023E-2</c:v>
                </c:pt>
                <c:pt idx="97">
                  <c:v>1.9823257080610023E-2</c:v>
                </c:pt>
                <c:pt idx="98">
                  <c:v>1.9823257080610023E-2</c:v>
                </c:pt>
                <c:pt idx="99">
                  <c:v>1.9823257080610023E-2</c:v>
                </c:pt>
              </c:numCache>
            </c:numRef>
          </c:val>
          <c:smooth val="0"/>
          <c:extLst xmlns:c16r2="http://schemas.microsoft.com/office/drawing/2015/06/chart">
            <c:ext xmlns:c16="http://schemas.microsoft.com/office/drawing/2014/chart" uri="{C3380CC4-5D6E-409C-BE32-E72D297353CC}">
              <c16:uniqueId val="{00000002-395A-49E2-AFEA-DF22D82253D5}"/>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7.929302832244009E-3</c:v>
                </c:pt>
                <c:pt idx="1">
                  <c:v>7.929302832244009E-3</c:v>
                </c:pt>
                <c:pt idx="2">
                  <c:v>7.929302832244009E-3</c:v>
                </c:pt>
                <c:pt idx="3">
                  <c:v>7.929302832244009E-3</c:v>
                </c:pt>
                <c:pt idx="4">
                  <c:v>7.929302832244009E-3</c:v>
                </c:pt>
                <c:pt idx="5">
                  <c:v>7.929302832244009E-3</c:v>
                </c:pt>
                <c:pt idx="6">
                  <c:v>7.929302832244009E-3</c:v>
                </c:pt>
                <c:pt idx="7">
                  <c:v>7.929302832244009E-3</c:v>
                </c:pt>
                <c:pt idx="8">
                  <c:v>7.929302832244009E-3</c:v>
                </c:pt>
                <c:pt idx="9">
                  <c:v>7.929302832244009E-3</c:v>
                </c:pt>
                <c:pt idx="10">
                  <c:v>7.929302832244009E-3</c:v>
                </c:pt>
                <c:pt idx="11">
                  <c:v>7.929302832244009E-3</c:v>
                </c:pt>
                <c:pt idx="12">
                  <c:v>7.929302832244009E-3</c:v>
                </c:pt>
                <c:pt idx="13">
                  <c:v>7.929302832244009E-3</c:v>
                </c:pt>
                <c:pt idx="14">
                  <c:v>7.929302832244009E-3</c:v>
                </c:pt>
                <c:pt idx="15">
                  <c:v>7.929302832244009E-3</c:v>
                </c:pt>
                <c:pt idx="16">
                  <c:v>7.929302832244009E-3</c:v>
                </c:pt>
                <c:pt idx="17">
                  <c:v>7.929302832244009E-3</c:v>
                </c:pt>
                <c:pt idx="18">
                  <c:v>7.929302832244009E-3</c:v>
                </c:pt>
                <c:pt idx="19">
                  <c:v>7.929302832244009E-3</c:v>
                </c:pt>
                <c:pt idx="20">
                  <c:v>7.929302832244009E-3</c:v>
                </c:pt>
                <c:pt idx="21">
                  <c:v>7.929302832244009E-3</c:v>
                </c:pt>
                <c:pt idx="22">
                  <c:v>7.929302832244009E-3</c:v>
                </c:pt>
                <c:pt idx="23">
                  <c:v>7.929302832244009E-3</c:v>
                </c:pt>
                <c:pt idx="24">
                  <c:v>7.929302832244009E-3</c:v>
                </c:pt>
                <c:pt idx="25">
                  <c:v>7.929302832244009E-3</c:v>
                </c:pt>
                <c:pt idx="26">
                  <c:v>7.929302832244009E-3</c:v>
                </c:pt>
                <c:pt idx="27">
                  <c:v>7.929302832244009E-3</c:v>
                </c:pt>
                <c:pt idx="28">
                  <c:v>7.929302832244009E-3</c:v>
                </c:pt>
                <c:pt idx="29">
                  <c:v>7.929302832244009E-3</c:v>
                </c:pt>
                <c:pt idx="30">
                  <c:v>7.929302832244009E-3</c:v>
                </c:pt>
                <c:pt idx="31">
                  <c:v>7.929302832244009E-3</c:v>
                </c:pt>
                <c:pt idx="32">
                  <c:v>7.929302832244009E-3</c:v>
                </c:pt>
                <c:pt idx="33">
                  <c:v>7.929302832244009E-3</c:v>
                </c:pt>
                <c:pt idx="34">
                  <c:v>7.929302832244009E-3</c:v>
                </c:pt>
                <c:pt idx="35">
                  <c:v>7.929302832244009E-3</c:v>
                </c:pt>
                <c:pt idx="36">
                  <c:v>7.929302832244009E-3</c:v>
                </c:pt>
                <c:pt idx="37">
                  <c:v>7.929302832244009E-3</c:v>
                </c:pt>
                <c:pt idx="38">
                  <c:v>7.929302832244009E-3</c:v>
                </c:pt>
                <c:pt idx="39">
                  <c:v>7.929302832244009E-3</c:v>
                </c:pt>
                <c:pt idx="40">
                  <c:v>7.929302832244009E-3</c:v>
                </c:pt>
                <c:pt idx="41">
                  <c:v>7.929302832244009E-3</c:v>
                </c:pt>
                <c:pt idx="42">
                  <c:v>7.929302832244009E-3</c:v>
                </c:pt>
                <c:pt idx="43">
                  <c:v>7.929302832244009E-3</c:v>
                </c:pt>
                <c:pt idx="44">
                  <c:v>7.929302832244009E-3</c:v>
                </c:pt>
                <c:pt idx="45">
                  <c:v>7.929302832244009E-3</c:v>
                </c:pt>
                <c:pt idx="46">
                  <c:v>7.929302832244009E-3</c:v>
                </c:pt>
                <c:pt idx="47">
                  <c:v>7.929302832244009E-3</c:v>
                </c:pt>
                <c:pt idx="48">
                  <c:v>7.929302832244009E-3</c:v>
                </c:pt>
                <c:pt idx="49">
                  <c:v>7.929302832244009E-3</c:v>
                </c:pt>
                <c:pt idx="50">
                  <c:v>7.929302832244009E-3</c:v>
                </c:pt>
                <c:pt idx="51">
                  <c:v>7.929302832244009E-3</c:v>
                </c:pt>
                <c:pt idx="52">
                  <c:v>7.929302832244009E-3</c:v>
                </c:pt>
                <c:pt idx="53">
                  <c:v>7.929302832244009E-3</c:v>
                </c:pt>
                <c:pt idx="54">
                  <c:v>7.929302832244009E-3</c:v>
                </c:pt>
                <c:pt idx="55">
                  <c:v>7.929302832244009E-3</c:v>
                </c:pt>
                <c:pt idx="56">
                  <c:v>7.929302832244009E-3</c:v>
                </c:pt>
                <c:pt idx="57">
                  <c:v>7.929302832244009E-3</c:v>
                </c:pt>
                <c:pt idx="58">
                  <c:v>7.929302832244009E-3</c:v>
                </c:pt>
                <c:pt idx="59">
                  <c:v>7.929302832244009E-3</c:v>
                </c:pt>
                <c:pt idx="60">
                  <c:v>7.929302832244009E-3</c:v>
                </c:pt>
                <c:pt idx="61">
                  <c:v>7.929302832244009E-3</c:v>
                </c:pt>
                <c:pt idx="62">
                  <c:v>7.929302832244009E-3</c:v>
                </c:pt>
                <c:pt idx="63">
                  <c:v>7.929302832244009E-3</c:v>
                </c:pt>
                <c:pt idx="64">
                  <c:v>7.929302832244009E-3</c:v>
                </c:pt>
                <c:pt idx="65">
                  <c:v>7.929302832244009E-3</c:v>
                </c:pt>
                <c:pt idx="66">
                  <c:v>7.929302832244009E-3</c:v>
                </c:pt>
                <c:pt idx="67">
                  <c:v>7.929302832244009E-3</c:v>
                </c:pt>
                <c:pt idx="68">
                  <c:v>7.929302832244009E-3</c:v>
                </c:pt>
                <c:pt idx="69">
                  <c:v>7.929302832244009E-3</c:v>
                </c:pt>
                <c:pt idx="70">
                  <c:v>7.929302832244009E-3</c:v>
                </c:pt>
                <c:pt idx="71">
                  <c:v>7.929302832244009E-3</c:v>
                </c:pt>
                <c:pt idx="72">
                  <c:v>7.929302832244009E-3</c:v>
                </c:pt>
                <c:pt idx="73">
                  <c:v>7.929302832244009E-3</c:v>
                </c:pt>
                <c:pt idx="74">
                  <c:v>7.929302832244009E-3</c:v>
                </c:pt>
                <c:pt idx="75">
                  <c:v>7.929302832244009E-3</c:v>
                </c:pt>
                <c:pt idx="76">
                  <c:v>7.929302832244009E-3</c:v>
                </c:pt>
                <c:pt idx="77">
                  <c:v>7.929302832244009E-3</c:v>
                </c:pt>
                <c:pt idx="78">
                  <c:v>7.929302832244009E-3</c:v>
                </c:pt>
                <c:pt idx="79">
                  <c:v>7.929302832244009E-3</c:v>
                </c:pt>
                <c:pt idx="80">
                  <c:v>7.929302832244009E-3</c:v>
                </c:pt>
                <c:pt idx="81">
                  <c:v>7.929302832244009E-3</c:v>
                </c:pt>
                <c:pt idx="82">
                  <c:v>7.929302832244009E-3</c:v>
                </c:pt>
                <c:pt idx="83">
                  <c:v>7.929302832244009E-3</c:v>
                </c:pt>
                <c:pt idx="84">
                  <c:v>7.929302832244009E-3</c:v>
                </c:pt>
                <c:pt idx="85">
                  <c:v>7.929302832244009E-3</c:v>
                </c:pt>
                <c:pt idx="86">
                  <c:v>7.929302832244009E-3</c:v>
                </c:pt>
                <c:pt idx="87">
                  <c:v>7.929302832244009E-3</c:v>
                </c:pt>
                <c:pt idx="88">
                  <c:v>7.929302832244009E-3</c:v>
                </c:pt>
                <c:pt idx="89">
                  <c:v>7.929302832244009E-3</c:v>
                </c:pt>
                <c:pt idx="90">
                  <c:v>7.929302832244009E-3</c:v>
                </c:pt>
                <c:pt idx="91">
                  <c:v>7.929302832244009E-3</c:v>
                </c:pt>
                <c:pt idx="92">
                  <c:v>7.929302832244009E-3</c:v>
                </c:pt>
                <c:pt idx="93">
                  <c:v>7.929302832244009E-3</c:v>
                </c:pt>
                <c:pt idx="94">
                  <c:v>7.929302832244009E-3</c:v>
                </c:pt>
                <c:pt idx="95">
                  <c:v>7.929302832244009E-3</c:v>
                </c:pt>
                <c:pt idx="96">
                  <c:v>7.929302832244009E-3</c:v>
                </c:pt>
                <c:pt idx="97">
                  <c:v>7.929302832244009E-3</c:v>
                </c:pt>
                <c:pt idx="98">
                  <c:v>7.929302832244009E-3</c:v>
                </c:pt>
                <c:pt idx="99">
                  <c:v>7.929302832244009E-3</c:v>
                </c:pt>
              </c:numCache>
            </c:numRef>
          </c:val>
          <c:smooth val="0"/>
          <c:extLst xmlns:c16r2="http://schemas.microsoft.com/office/drawing/2015/06/chart">
            <c:ext xmlns:c16="http://schemas.microsoft.com/office/drawing/2014/chart" uri="{C3380CC4-5D6E-409C-BE32-E72D297353CC}">
              <c16:uniqueId val="{00000003-395A-49E2-AFEA-DF22D82253D5}"/>
            </c:ext>
          </c:extLst>
        </c:ser>
        <c:dLbls>
          <c:showLegendKey val="0"/>
          <c:showVal val="0"/>
          <c:showCatName val="0"/>
          <c:showSerName val="0"/>
          <c:showPercent val="0"/>
          <c:showBubbleSize val="0"/>
        </c:dLbls>
        <c:marker val="1"/>
        <c:smooth val="0"/>
        <c:axId val="196590432"/>
        <c:axId val="196590992"/>
      </c:lineChart>
      <c:catAx>
        <c:axId val="19659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6590992"/>
        <c:crosses val="autoZero"/>
        <c:auto val="1"/>
        <c:lblAlgn val="ctr"/>
        <c:lblOffset val="500"/>
        <c:tickLblSkip val="5"/>
        <c:noMultiLvlLbl val="0"/>
      </c:catAx>
      <c:valAx>
        <c:axId val="1965909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590432"/>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xmlns:c16r2="http://schemas.microsoft.com/office/drawing/2015/06/chart">
            <c:ext xmlns:c16="http://schemas.microsoft.com/office/drawing/2014/chart" uri="{C3380CC4-5D6E-409C-BE32-E72D297353CC}">
              <c16:uniqueId val="{00000000-4FE4-4D52-B58F-1582E72D4F90}"/>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99.057208361777725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4FE4-4D52-B58F-1582E72D4F90}"/>
            </c:ext>
          </c:extLst>
        </c:ser>
        <c:dLbls>
          <c:showLegendKey val="0"/>
          <c:showVal val="0"/>
          <c:showCatName val="0"/>
          <c:showSerName val="0"/>
          <c:showPercent val="0"/>
          <c:showBubbleSize val="0"/>
        </c:dLbls>
        <c:gapWidth val="0"/>
        <c:overlap val="100"/>
        <c:axId val="196754160"/>
        <c:axId val="1967789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138.46648284313724</c:v>
                </c:pt>
                <c:pt idx="1">
                  <c:v>138.46648284313724</c:v>
                </c:pt>
                <c:pt idx="2">
                  <c:v>138.46648284313724</c:v>
                </c:pt>
                <c:pt idx="3">
                  <c:v>138.46648284313724</c:v>
                </c:pt>
                <c:pt idx="4">
                  <c:v>138.46648284313724</c:v>
                </c:pt>
                <c:pt idx="5">
                  <c:v>138.46648284313724</c:v>
                </c:pt>
                <c:pt idx="6">
                  <c:v>138.46648284313724</c:v>
                </c:pt>
                <c:pt idx="7">
                  <c:v>138.46648284313724</c:v>
                </c:pt>
                <c:pt idx="8">
                  <c:v>138.46648284313724</c:v>
                </c:pt>
                <c:pt idx="9">
                  <c:v>138.46648284313724</c:v>
                </c:pt>
                <c:pt idx="10">
                  <c:v>138.46648284313724</c:v>
                </c:pt>
                <c:pt idx="11">
                  <c:v>138.46648284313724</c:v>
                </c:pt>
                <c:pt idx="12">
                  <c:v>138.46648284313724</c:v>
                </c:pt>
                <c:pt idx="13">
                  <c:v>138.46648284313724</c:v>
                </c:pt>
                <c:pt idx="14">
                  <c:v>138.46648284313724</c:v>
                </c:pt>
                <c:pt idx="15">
                  <c:v>138.46648284313724</c:v>
                </c:pt>
                <c:pt idx="16">
                  <c:v>138.46648284313724</c:v>
                </c:pt>
                <c:pt idx="17">
                  <c:v>138.46648284313724</c:v>
                </c:pt>
                <c:pt idx="18">
                  <c:v>138.46648284313724</c:v>
                </c:pt>
                <c:pt idx="19">
                  <c:v>138.46648284313724</c:v>
                </c:pt>
                <c:pt idx="20">
                  <c:v>138.46648284313724</c:v>
                </c:pt>
                <c:pt idx="21">
                  <c:v>138.46648284313724</c:v>
                </c:pt>
                <c:pt idx="22">
                  <c:v>138.46648284313724</c:v>
                </c:pt>
                <c:pt idx="23">
                  <c:v>138.46648284313724</c:v>
                </c:pt>
                <c:pt idx="24">
                  <c:v>138.46648284313724</c:v>
                </c:pt>
                <c:pt idx="25">
                  <c:v>138.46648284313724</c:v>
                </c:pt>
                <c:pt idx="26">
                  <c:v>138.46648284313724</c:v>
                </c:pt>
                <c:pt idx="27">
                  <c:v>138.46648284313724</c:v>
                </c:pt>
                <c:pt idx="28">
                  <c:v>138.46648284313724</c:v>
                </c:pt>
                <c:pt idx="29">
                  <c:v>138.46648284313724</c:v>
                </c:pt>
                <c:pt idx="30">
                  <c:v>138.46648284313724</c:v>
                </c:pt>
                <c:pt idx="31">
                  <c:v>138.46648284313724</c:v>
                </c:pt>
                <c:pt idx="32">
                  <c:v>138.46648284313724</c:v>
                </c:pt>
                <c:pt idx="33">
                  <c:v>138.46648284313724</c:v>
                </c:pt>
                <c:pt idx="34">
                  <c:v>138.46648284313724</c:v>
                </c:pt>
                <c:pt idx="35">
                  <c:v>138.46648284313724</c:v>
                </c:pt>
                <c:pt idx="36">
                  <c:v>138.46648284313724</c:v>
                </c:pt>
                <c:pt idx="37">
                  <c:v>138.46648284313724</c:v>
                </c:pt>
                <c:pt idx="38">
                  <c:v>138.46648284313724</c:v>
                </c:pt>
                <c:pt idx="39">
                  <c:v>138.46648284313724</c:v>
                </c:pt>
                <c:pt idx="40">
                  <c:v>138.46648284313724</c:v>
                </c:pt>
                <c:pt idx="41">
                  <c:v>138.46648284313724</c:v>
                </c:pt>
                <c:pt idx="42">
                  <c:v>138.46648284313724</c:v>
                </c:pt>
                <c:pt idx="43">
                  <c:v>138.46648284313724</c:v>
                </c:pt>
                <c:pt idx="44">
                  <c:v>138.46648284313724</c:v>
                </c:pt>
                <c:pt idx="45">
                  <c:v>138.46648284313724</c:v>
                </c:pt>
                <c:pt idx="46">
                  <c:v>138.46648284313724</c:v>
                </c:pt>
                <c:pt idx="47">
                  <c:v>138.46648284313724</c:v>
                </c:pt>
                <c:pt idx="48">
                  <c:v>138.46648284313724</c:v>
                </c:pt>
                <c:pt idx="49">
                  <c:v>138.46648284313724</c:v>
                </c:pt>
                <c:pt idx="50">
                  <c:v>138.46648284313724</c:v>
                </c:pt>
                <c:pt idx="51">
                  <c:v>138.46648284313724</c:v>
                </c:pt>
                <c:pt idx="52">
                  <c:v>138.46648284313724</c:v>
                </c:pt>
                <c:pt idx="53">
                  <c:v>138.46648284313724</c:v>
                </c:pt>
                <c:pt idx="54">
                  <c:v>138.46648284313724</c:v>
                </c:pt>
                <c:pt idx="55">
                  <c:v>138.46648284313724</c:v>
                </c:pt>
                <c:pt idx="56">
                  <c:v>138.46648284313724</c:v>
                </c:pt>
                <c:pt idx="57">
                  <c:v>138.46648284313724</c:v>
                </c:pt>
                <c:pt idx="58">
                  <c:v>138.46648284313724</c:v>
                </c:pt>
                <c:pt idx="59">
                  <c:v>138.46648284313724</c:v>
                </c:pt>
                <c:pt idx="60">
                  <c:v>138.46648284313724</c:v>
                </c:pt>
                <c:pt idx="61">
                  <c:v>138.46648284313724</c:v>
                </c:pt>
                <c:pt idx="62">
                  <c:v>138.46648284313724</c:v>
                </c:pt>
                <c:pt idx="63">
                  <c:v>138.46648284313724</c:v>
                </c:pt>
                <c:pt idx="64">
                  <c:v>138.46648284313724</c:v>
                </c:pt>
                <c:pt idx="65">
                  <c:v>138.46648284313724</c:v>
                </c:pt>
                <c:pt idx="66">
                  <c:v>138.46648284313724</c:v>
                </c:pt>
                <c:pt idx="67">
                  <c:v>138.46648284313724</c:v>
                </c:pt>
                <c:pt idx="68">
                  <c:v>138.46648284313724</c:v>
                </c:pt>
                <c:pt idx="69">
                  <c:v>138.46648284313724</c:v>
                </c:pt>
                <c:pt idx="70">
                  <c:v>138.46648284313724</c:v>
                </c:pt>
                <c:pt idx="71">
                  <c:v>138.46648284313724</c:v>
                </c:pt>
                <c:pt idx="72">
                  <c:v>138.46648284313724</c:v>
                </c:pt>
                <c:pt idx="73">
                  <c:v>138.46648284313724</c:v>
                </c:pt>
                <c:pt idx="74">
                  <c:v>138.46648284313724</c:v>
                </c:pt>
                <c:pt idx="75">
                  <c:v>138.46648284313724</c:v>
                </c:pt>
                <c:pt idx="76">
                  <c:v>138.46648284313724</c:v>
                </c:pt>
                <c:pt idx="77">
                  <c:v>138.46648284313724</c:v>
                </c:pt>
                <c:pt idx="78">
                  <c:v>138.46648284313724</c:v>
                </c:pt>
                <c:pt idx="79">
                  <c:v>138.46648284313724</c:v>
                </c:pt>
                <c:pt idx="80">
                  <c:v>138.46648284313724</c:v>
                </c:pt>
                <c:pt idx="81">
                  <c:v>138.46648284313724</c:v>
                </c:pt>
                <c:pt idx="82">
                  <c:v>138.46648284313724</c:v>
                </c:pt>
                <c:pt idx="83">
                  <c:v>138.46648284313724</c:v>
                </c:pt>
                <c:pt idx="84">
                  <c:v>138.46648284313724</c:v>
                </c:pt>
                <c:pt idx="85">
                  <c:v>138.46648284313724</c:v>
                </c:pt>
                <c:pt idx="86">
                  <c:v>138.46648284313724</c:v>
                </c:pt>
                <c:pt idx="87">
                  <c:v>138.46648284313724</c:v>
                </c:pt>
                <c:pt idx="88">
                  <c:v>138.46648284313724</c:v>
                </c:pt>
                <c:pt idx="89">
                  <c:v>138.46648284313724</c:v>
                </c:pt>
                <c:pt idx="90">
                  <c:v>138.46648284313724</c:v>
                </c:pt>
                <c:pt idx="91">
                  <c:v>138.46648284313724</c:v>
                </c:pt>
                <c:pt idx="92">
                  <c:v>138.46648284313724</c:v>
                </c:pt>
                <c:pt idx="93">
                  <c:v>138.46648284313724</c:v>
                </c:pt>
                <c:pt idx="94">
                  <c:v>138.46648284313724</c:v>
                </c:pt>
                <c:pt idx="95">
                  <c:v>138.46648284313724</c:v>
                </c:pt>
                <c:pt idx="96">
                  <c:v>138.46648284313724</c:v>
                </c:pt>
                <c:pt idx="97">
                  <c:v>138.46648284313724</c:v>
                </c:pt>
                <c:pt idx="98">
                  <c:v>138.46648284313724</c:v>
                </c:pt>
                <c:pt idx="99">
                  <c:v>138.46648284313724</c:v>
                </c:pt>
              </c:numCache>
            </c:numRef>
          </c:val>
          <c:smooth val="0"/>
          <c:extLst xmlns:c16r2="http://schemas.microsoft.com/office/drawing/2015/06/chart">
            <c:ext xmlns:c16="http://schemas.microsoft.com/office/drawing/2014/chart" uri="{C3380CC4-5D6E-409C-BE32-E72D297353CC}">
              <c16:uniqueId val="{00000002-4FE4-4D52-B58F-1582E72D4F90}"/>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55.386593137254899</c:v>
                </c:pt>
                <c:pt idx="1">
                  <c:v>55.386593137254899</c:v>
                </c:pt>
                <c:pt idx="2">
                  <c:v>55.386593137254899</c:v>
                </c:pt>
                <c:pt idx="3">
                  <c:v>55.386593137254899</c:v>
                </c:pt>
                <c:pt idx="4">
                  <c:v>55.386593137254899</c:v>
                </c:pt>
                <c:pt idx="5">
                  <c:v>55.386593137254899</c:v>
                </c:pt>
                <c:pt idx="6">
                  <c:v>55.386593137254899</c:v>
                </c:pt>
                <c:pt idx="7">
                  <c:v>55.386593137254899</c:v>
                </c:pt>
                <c:pt idx="8">
                  <c:v>55.386593137254899</c:v>
                </c:pt>
                <c:pt idx="9">
                  <c:v>55.386593137254899</c:v>
                </c:pt>
                <c:pt idx="10">
                  <c:v>55.386593137254899</c:v>
                </c:pt>
                <c:pt idx="11">
                  <c:v>55.386593137254899</c:v>
                </c:pt>
                <c:pt idx="12">
                  <c:v>55.386593137254899</c:v>
                </c:pt>
                <c:pt idx="13">
                  <c:v>55.386593137254899</c:v>
                </c:pt>
                <c:pt idx="14">
                  <c:v>55.386593137254899</c:v>
                </c:pt>
                <c:pt idx="15">
                  <c:v>55.386593137254899</c:v>
                </c:pt>
                <c:pt idx="16">
                  <c:v>55.386593137254899</c:v>
                </c:pt>
                <c:pt idx="17">
                  <c:v>55.386593137254899</c:v>
                </c:pt>
                <c:pt idx="18">
                  <c:v>55.386593137254899</c:v>
                </c:pt>
                <c:pt idx="19">
                  <c:v>55.386593137254899</c:v>
                </c:pt>
                <c:pt idx="20">
                  <c:v>55.386593137254899</c:v>
                </c:pt>
                <c:pt idx="21">
                  <c:v>55.386593137254899</c:v>
                </c:pt>
                <c:pt idx="22">
                  <c:v>55.386593137254899</c:v>
                </c:pt>
                <c:pt idx="23">
                  <c:v>55.386593137254899</c:v>
                </c:pt>
                <c:pt idx="24">
                  <c:v>55.386593137254899</c:v>
                </c:pt>
                <c:pt idx="25">
                  <c:v>55.386593137254899</c:v>
                </c:pt>
                <c:pt idx="26">
                  <c:v>55.386593137254899</c:v>
                </c:pt>
                <c:pt idx="27">
                  <c:v>55.386593137254899</c:v>
                </c:pt>
                <c:pt idx="28">
                  <c:v>55.386593137254899</c:v>
                </c:pt>
                <c:pt idx="29">
                  <c:v>55.386593137254899</c:v>
                </c:pt>
                <c:pt idx="30">
                  <c:v>55.386593137254899</c:v>
                </c:pt>
                <c:pt idx="31">
                  <c:v>55.386593137254899</c:v>
                </c:pt>
                <c:pt idx="32">
                  <c:v>55.386593137254899</c:v>
                </c:pt>
                <c:pt idx="33">
                  <c:v>55.386593137254899</c:v>
                </c:pt>
                <c:pt idx="34">
                  <c:v>55.386593137254899</c:v>
                </c:pt>
                <c:pt idx="35">
                  <c:v>55.386593137254899</c:v>
                </c:pt>
                <c:pt idx="36">
                  <c:v>55.386593137254899</c:v>
                </c:pt>
                <c:pt idx="37">
                  <c:v>55.386593137254899</c:v>
                </c:pt>
                <c:pt idx="38">
                  <c:v>55.386593137254899</c:v>
                </c:pt>
                <c:pt idx="39">
                  <c:v>55.386593137254899</c:v>
                </c:pt>
                <c:pt idx="40">
                  <c:v>55.386593137254899</c:v>
                </c:pt>
                <c:pt idx="41">
                  <c:v>55.386593137254899</c:v>
                </c:pt>
                <c:pt idx="42">
                  <c:v>55.386593137254899</c:v>
                </c:pt>
                <c:pt idx="43">
                  <c:v>55.386593137254899</c:v>
                </c:pt>
                <c:pt idx="44">
                  <c:v>55.386593137254899</c:v>
                </c:pt>
                <c:pt idx="45">
                  <c:v>55.386593137254899</c:v>
                </c:pt>
                <c:pt idx="46">
                  <c:v>55.386593137254899</c:v>
                </c:pt>
                <c:pt idx="47">
                  <c:v>55.386593137254899</c:v>
                </c:pt>
                <c:pt idx="48">
                  <c:v>55.386593137254899</c:v>
                </c:pt>
                <c:pt idx="49">
                  <c:v>55.386593137254899</c:v>
                </c:pt>
                <c:pt idx="50">
                  <c:v>55.386593137254899</c:v>
                </c:pt>
                <c:pt idx="51">
                  <c:v>55.386593137254899</c:v>
                </c:pt>
                <c:pt idx="52">
                  <c:v>55.386593137254899</c:v>
                </c:pt>
                <c:pt idx="53">
                  <c:v>55.386593137254899</c:v>
                </c:pt>
                <c:pt idx="54">
                  <c:v>55.386593137254899</c:v>
                </c:pt>
                <c:pt idx="55">
                  <c:v>55.386593137254899</c:v>
                </c:pt>
                <c:pt idx="56">
                  <c:v>55.386593137254899</c:v>
                </c:pt>
                <c:pt idx="57">
                  <c:v>55.386593137254899</c:v>
                </c:pt>
                <c:pt idx="58">
                  <c:v>55.386593137254899</c:v>
                </c:pt>
                <c:pt idx="59">
                  <c:v>55.386593137254899</c:v>
                </c:pt>
                <c:pt idx="60">
                  <c:v>55.386593137254899</c:v>
                </c:pt>
                <c:pt idx="61">
                  <c:v>55.386593137254899</c:v>
                </c:pt>
                <c:pt idx="62">
                  <c:v>55.386593137254899</c:v>
                </c:pt>
                <c:pt idx="63">
                  <c:v>55.386593137254899</c:v>
                </c:pt>
                <c:pt idx="64">
                  <c:v>55.386593137254899</c:v>
                </c:pt>
                <c:pt idx="65">
                  <c:v>55.386593137254899</c:v>
                </c:pt>
                <c:pt idx="66">
                  <c:v>55.386593137254899</c:v>
                </c:pt>
                <c:pt idx="67">
                  <c:v>55.386593137254899</c:v>
                </c:pt>
                <c:pt idx="68">
                  <c:v>55.386593137254899</c:v>
                </c:pt>
                <c:pt idx="69">
                  <c:v>55.386593137254899</c:v>
                </c:pt>
                <c:pt idx="70">
                  <c:v>55.386593137254899</c:v>
                </c:pt>
                <c:pt idx="71">
                  <c:v>55.386593137254899</c:v>
                </c:pt>
                <c:pt idx="72">
                  <c:v>55.386593137254899</c:v>
                </c:pt>
                <c:pt idx="73">
                  <c:v>55.386593137254899</c:v>
                </c:pt>
                <c:pt idx="74">
                  <c:v>55.386593137254899</c:v>
                </c:pt>
                <c:pt idx="75">
                  <c:v>55.386593137254899</c:v>
                </c:pt>
                <c:pt idx="76">
                  <c:v>55.386593137254899</c:v>
                </c:pt>
                <c:pt idx="77">
                  <c:v>55.386593137254899</c:v>
                </c:pt>
                <c:pt idx="78">
                  <c:v>55.386593137254899</c:v>
                </c:pt>
                <c:pt idx="79">
                  <c:v>55.386593137254899</c:v>
                </c:pt>
                <c:pt idx="80">
                  <c:v>55.386593137254899</c:v>
                </c:pt>
                <c:pt idx="81">
                  <c:v>55.386593137254899</c:v>
                </c:pt>
                <c:pt idx="82">
                  <c:v>55.386593137254899</c:v>
                </c:pt>
                <c:pt idx="83">
                  <c:v>55.386593137254899</c:v>
                </c:pt>
                <c:pt idx="84">
                  <c:v>55.386593137254899</c:v>
                </c:pt>
                <c:pt idx="85">
                  <c:v>55.386593137254899</c:v>
                </c:pt>
                <c:pt idx="86">
                  <c:v>55.386593137254899</c:v>
                </c:pt>
                <c:pt idx="87">
                  <c:v>55.386593137254899</c:v>
                </c:pt>
                <c:pt idx="88">
                  <c:v>55.386593137254899</c:v>
                </c:pt>
                <c:pt idx="89">
                  <c:v>55.386593137254899</c:v>
                </c:pt>
                <c:pt idx="90">
                  <c:v>55.386593137254899</c:v>
                </c:pt>
                <c:pt idx="91">
                  <c:v>55.386593137254899</c:v>
                </c:pt>
                <c:pt idx="92">
                  <c:v>55.386593137254899</c:v>
                </c:pt>
                <c:pt idx="93">
                  <c:v>55.386593137254899</c:v>
                </c:pt>
                <c:pt idx="94">
                  <c:v>55.386593137254899</c:v>
                </c:pt>
                <c:pt idx="95">
                  <c:v>55.386593137254899</c:v>
                </c:pt>
                <c:pt idx="96">
                  <c:v>55.386593137254899</c:v>
                </c:pt>
                <c:pt idx="97">
                  <c:v>55.386593137254899</c:v>
                </c:pt>
                <c:pt idx="98">
                  <c:v>55.386593137254899</c:v>
                </c:pt>
                <c:pt idx="99">
                  <c:v>55.386593137254899</c:v>
                </c:pt>
              </c:numCache>
            </c:numRef>
          </c:val>
          <c:smooth val="0"/>
          <c:extLst xmlns:c16r2="http://schemas.microsoft.com/office/drawing/2015/06/chart">
            <c:ext xmlns:c16="http://schemas.microsoft.com/office/drawing/2014/chart" uri="{C3380CC4-5D6E-409C-BE32-E72D297353CC}">
              <c16:uniqueId val="{00000003-4FE4-4D52-B58F-1582E72D4F90}"/>
            </c:ext>
          </c:extLst>
        </c:ser>
        <c:dLbls>
          <c:showLegendKey val="0"/>
          <c:showVal val="0"/>
          <c:showCatName val="0"/>
          <c:showSerName val="0"/>
          <c:showPercent val="0"/>
          <c:showBubbleSize val="0"/>
        </c:dLbls>
        <c:marker val="1"/>
        <c:smooth val="0"/>
        <c:axId val="196754160"/>
        <c:axId val="196778912"/>
      </c:lineChart>
      <c:catAx>
        <c:axId val="196754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778912"/>
        <c:crosses val="autoZero"/>
        <c:auto val="1"/>
        <c:lblAlgn val="ctr"/>
        <c:lblOffset val="500"/>
        <c:tickLblSkip val="5"/>
        <c:noMultiLvlLbl val="0"/>
      </c:catAx>
      <c:valAx>
        <c:axId val="1967789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754160"/>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89.174999999999997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8FA-4C66-8C97-522FF5667D30}"/>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123.6</c:v>
                </c:pt>
                <c:pt idx="2">
                  <c:v>129.33750000000001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A8FA-4C66-8C97-522FF5667D30}"/>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142.875</c:v>
                </c:pt>
                <c:pt idx="4">
                  <c:v>148.61250000000001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A8FA-4C66-8C97-522FF5667D30}"/>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164.98750000000001</c:v>
                </c:pt>
                <c:pt idx="6">
                  <c:v>170.72499999999999</c:v>
                </c:pt>
                <c:pt idx="7">
                  <c:v>170.72499999999999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A8FA-4C66-8C97-522FF5667D30}"/>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196.27499999999998</c:v>
                </c:pt>
                <c:pt idx="9">
                  <c:v>196.27499999999998</c:v>
                </c:pt>
                <c:pt idx="10">
                  <c:v>211.35000000000002</c:v>
                </c:pt>
                <c:pt idx="11">
                  <c:v>211.35000000000002</c:v>
                </c:pt>
                <c:pt idx="12">
                  <c:v>220.1875</c:v>
                </c:pt>
                <c:pt idx="13">
                  <c:v>220.1875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A8FA-4C66-8C97-522FF5667D30}"/>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233.46250000000001</c:v>
                </c:pt>
                <c:pt idx="15">
                  <c:v>233.46250000000001</c:v>
                </c:pt>
                <c:pt idx="16">
                  <c:v>241</c:v>
                </c:pt>
                <c:pt idx="17">
                  <c:v>241</c:v>
                </c:pt>
                <c:pt idx="18">
                  <c:v>248.73750000000001</c:v>
                </c:pt>
                <c:pt idx="19">
                  <c:v>248.73750000000001</c:v>
                </c:pt>
                <c:pt idx="20">
                  <c:v>256.77500000000003</c:v>
                </c:pt>
                <c:pt idx="21">
                  <c:v>256.77500000000003</c:v>
                </c:pt>
                <c:pt idx="22">
                  <c:v>259.27500000000003</c:v>
                </c:pt>
                <c:pt idx="23">
                  <c:v>259.27500000000003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A8FA-4C66-8C97-522FF5667D30}"/>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266.61250000000001</c:v>
                </c:pt>
                <c:pt idx="25">
                  <c:v>266.61250000000001</c:v>
                </c:pt>
                <c:pt idx="26">
                  <c:v>274.04999999999995</c:v>
                </c:pt>
                <c:pt idx="27">
                  <c:v>274.04999999999995</c:v>
                </c:pt>
                <c:pt idx="28">
                  <c:v>281.08749999999998</c:v>
                </c:pt>
                <c:pt idx="29">
                  <c:v>281.08749999999998</c:v>
                </c:pt>
                <c:pt idx="30">
                  <c:v>282.48750000000001</c:v>
                </c:pt>
                <c:pt idx="31">
                  <c:v>282.48750000000001</c:v>
                </c:pt>
                <c:pt idx="32">
                  <c:v>290.22500000000002</c:v>
                </c:pt>
                <c:pt idx="33">
                  <c:v>290.22500000000002</c:v>
                </c:pt>
                <c:pt idx="34">
                  <c:v>297.26249999999999</c:v>
                </c:pt>
                <c:pt idx="35">
                  <c:v>297.26249999999999</c:v>
                </c:pt>
                <c:pt idx="36">
                  <c:v>299.26249999999999</c:v>
                </c:pt>
                <c:pt idx="37">
                  <c:v>299.26249999999999</c:v>
                </c:pt>
                <c:pt idx="38">
                  <c:v>306.7</c:v>
                </c:pt>
                <c:pt idx="39">
                  <c:v>306.7</c:v>
                </c:pt>
                <c:pt idx="40">
                  <c:v>314.13750000000005</c:v>
                </c:pt>
                <c:pt idx="41">
                  <c:v>314.13750000000005</c:v>
                </c:pt>
                <c:pt idx="42">
                  <c:v>315.53750000000002</c:v>
                </c:pt>
                <c:pt idx="43">
                  <c:v>315.53750000000002</c:v>
                </c:pt>
                <c:pt idx="44">
                  <c:v>322.375</c:v>
                </c:pt>
                <c:pt idx="45">
                  <c:v>322.375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A8FA-4C66-8C97-522FF5667D30}"/>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329.51249999999999</c:v>
                </c:pt>
                <c:pt idx="47">
                  <c:v>329.51249999999999</c:v>
                </c:pt>
                <c:pt idx="48">
                  <c:v>331.01249999999999</c:v>
                </c:pt>
                <c:pt idx="49">
                  <c:v>331.01249999999999</c:v>
                </c:pt>
                <c:pt idx="50">
                  <c:v>337.65</c:v>
                </c:pt>
                <c:pt idx="51">
                  <c:v>337.65</c:v>
                </c:pt>
                <c:pt idx="52">
                  <c:v>344.58749999999998</c:v>
                </c:pt>
                <c:pt idx="53">
                  <c:v>344.58749999999998</c:v>
                </c:pt>
                <c:pt idx="54">
                  <c:v>346.6875</c:v>
                </c:pt>
                <c:pt idx="55">
                  <c:v>346.6875</c:v>
                </c:pt>
                <c:pt idx="56">
                  <c:v>354.52499999999998</c:v>
                </c:pt>
                <c:pt idx="57">
                  <c:v>354.52499999999998</c:v>
                </c:pt>
                <c:pt idx="58">
                  <c:v>362.66250000000002</c:v>
                </c:pt>
                <c:pt idx="59">
                  <c:v>362.66250000000002</c:v>
                </c:pt>
                <c:pt idx="60">
                  <c:v>364.5625</c:v>
                </c:pt>
                <c:pt idx="61">
                  <c:v>364.5625</c:v>
                </c:pt>
                <c:pt idx="62">
                  <c:v>371.80000000000007</c:v>
                </c:pt>
                <c:pt idx="63">
                  <c:v>371.80000000000007</c:v>
                </c:pt>
                <c:pt idx="64">
                  <c:v>379.03750000000002</c:v>
                </c:pt>
                <c:pt idx="65">
                  <c:v>379.03750000000002</c:v>
                </c:pt>
                <c:pt idx="66">
                  <c:v>380.73749999999995</c:v>
                </c:pt>
                <c:pt idx="67">
                  <c:v>380.73749999999995</c:v>
                </c:pt>
                <c:pt idx="68">
                  <c:v>388.17500000000001</c:v>
                </c:pt>
                <c:pt idx="69">
                  <c:v>388.17500000000001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A8FA-4C66-8C97-522FF5667D30}"/>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395.31249999999994</c:v>
                </c:pt>
                <c:pt idx="71">
                  <c:v>395.31249999999994</c:v>
                </c:pt>
                <c:pt idx="72">
                  <c:v>402.34999999999997</c:v>
                </c:pt>
                <c:pt idx="73">
                  <c:v>402.34999999999997</c:v>
                </c:pt>
                <c:pt idx="74">
                  <c:v>404.04999999999995</c:v>
                </c:pt>
                <c:pt idx="75">
                  <c:v>404.04999999999995</c:v>
                </c:pt>
                <c:pt idx="76">
                  <c:v>411.48749999999995</c:v>
                </c:pt>
                <c:pt idx="77">
                  <c:v>411.48749999999995</c:v>
                </c:pt>
                <c:pt idx="78">
                  <c:v>419.02499999999998</c:v>
                </c:pt>
                <c:pt idx="79">
                  <c:v>419.02499999999998</c:v>
                </c:pt>
                <c:pt idx="80">
                  <c:v>426.96249999999998</c:v>
                </c:pt>
                <c:pt idx="81">
                  <c:v>426.96249999999998</c:v>
                </c:pt>
                <c:pt idx="82">
                  <c:v>434.1</c:v>
                </c:pt>
                <c:pt idx="83">
                  <c:v>434.1</c:v>
                </c:pt>
                <c:pt idx="84">
                  <c:v>441.23750000000001</c:v>
                </c:pt>
                <c:pt idx="85">
                  <c:v>441.23750000000001</c:v>
                </c:pt>
                <c:pt idx="86">
                  <c:v>448.47500000000002</c:v>
                </c:pt>
                <c:pt idx="87">
                  <c:v>448.47500000000002</c:v>
                </c:pt>
                <c:pt idx="88">
                  <c:v>467.6875</c:v>
                </c:pt>
                <c:pt idx="89">
                  <c:v>467.6875</c:v>
                </c:pt>
                <c:pt idx="90">
                  <c:v>481.0625</c:v>
                </c:pt>
                <c:pt idx="91">
                  <c:v>481.0625</c:v>
                </c:pt>
                <c:pt idx="92">
                  <c:v>507.41250000000002</c:v>
                </c:pt>
                <c:pt idx="93">
                  <c:v>507.41250000000002</c:v>
                </c:pt>
                <c:pt idx="94">
                  <c:v>523.6875</c:v>
                </c:pt>
                <c:pt idx="95">
                  <c:v>535.92500000000007</c:v>
                </c:pt>
                <c:pt idx="96">
                  <c:v>541.66249999999991</c:v>
                </c:pt>
                <c:pt idx="97">
                  <c:v>575.47500000000002</c:v>
                </c:pt>
                <c:pt idx="98">
                  <c:v>586.95000000000005</c:v>
                </c:pt>
                <c:pt idx="99">
                  <c:v>660.07500000000005</c:v>
                </c:pt>
              </c:numCache>
            </c:numRef>
          </c:val>
          <c:extLst xmlns:c16r2="http://schemas.microsoft.com/office/drawing/2015/06/chart">
            <c:ext xmlns:c16="http://schemas.microsoft.com/office/drawing/2014/chart" uri="{C3380CC4-5D6E-409C-BE32-E72D297353CC}">
              <c16:uniqueId val="{00000008-A8FA-4C66-8C97-522FF5667D30}"/>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295.10833078883383</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A8FA-4C66-8C97-522FF5667D30}"/>
            </c:ext>
          </c:extLst>
        </c:ser>
        <c:dLbls>
          <c:showLegendKey val="0"/>
          <c:showVal val="0"/>
          <c:showCatName val="0"/>
          <c:showSerName val="0"/>
          <c:showPercent val="0"/>
          <c:showBubbleSize val="0"/>
        </c:dLbls>
        <c:gapWidth val="0"/>
        <c:overlap val="100"/>
        <c:axId val="196948880"/>
        <c:axId val="19694944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272.20242034313725</c:v>
                </c:pt>
                <c:pt idx="1">
                  <c:v>272.20242034313725</c:v>
                </c:pt>
                <c:pt idx="2">
                  <c:v>272.20242034313725</c:v>
                </c:pt>
                <c:pt idx="3">
                  <c:v>272.20242034313725</c:v>
                </c:pt>
                <c:pt idx="4">
                  <c:v>272.20242034313725</c:v>
                </c:pt>
                <c:pt idx="5">
                  <c:v>272.20242034313725</c:v>
                </c:pt>
                <c:pt idx="6">
                  <c:v>272.20242034313725</c:v>
                </c:pt>
                <c:pt idx="7">
                  <c:v>272.20242034313725</c:v>
                </c:pt>
                <c:pt idx="8">
                  <c:v>272.20242034313725</c:v>
                </c:pt>
                <c:pt idx="9">
                  <c:v>272.20242034313725</c:v>
                </c:pt>
                <c:pt idx="10">
                  <c:v>272.20242034313725</c:v>
                </c:pt>
                <c:pt idx="11">
                  <c:v>272.20242034313725</c:v>
                </c:pt>
                <c:pt idx="12">
                  <c:v>272.20242034313725</c:v>
                </c:pt>
                <c:pt idx="13">
                  <c:v>272.20242034313725</c:v>
                </c:pt>
                <c:pt idx="14">
                  <c:v>272.20242034313725</c:v>
                </c:pt>
                <c:pt idx="15">
                  <c:v>272.20242034313725</c:v>
                </c:pt>
                <c:pt idx="16">
                  <c:v>272.20242034313725</c:v>
                </c:pt>
                <c:pt idx="17">
                  <c:v>272.20242034313725</c:v>
                </c:pt>
                <c:pt idx="18">
                  <c:v>272.20242034313725</c:v>
                </c:pt>
                <c:pt idx="19">
                  <c:v>272.20242034313725</c:v>
                </c:pt>
                <c:pt idx="20">
                  <c:v>272.20242034313725</c:v>
                </c:pt>
                <c:pt idx="21">
                  <c:v>272.20242034313725</c:v>
                </c:pt>
                <c:pt idx="22">
                  <c:v>272.20242034313725</c:v>
                </c:pt>
                <c:pt idx="23">
                  <c:v>272.20242034313725</c:v>
                </c:pt>
                <c:pt idx="24">
                  <c:v>272.20242034313725</c:v>
                </c:pt>
                <c:pt idx="25">
                  <c:v>272.20242034313725</c:v>
                </c:pt>
                <c:pt idx="26">
                  <c:v>272.20242034313725</c:v>
                </c:pt>
                <c:pt idx="27">
                  <c:v>272.20242034313725</c:v>
                </c:pt>
                <c:pt idx="28">
                  <c:v>272.20242034313725</c:v>
                </c:pt>
                <c:pt idx="29">
                  <c:v>272.20242034313725</c:v>
                </c:pt>
                <c:pt idx="30">
                  <c:v>272.20242034313725</c:v>
                </c:pt>
                <c:pt idx="31">
                  <c:v>272.20242034313725</c:v>
                </c:pt>
                <c:pt idx="32">
                  <c:v>272.20242034313725</c:v>
                </c:pt>
                <c:pt idx="33">
                  <c:v>272.20242034313725</c:v>
                </c:pt>
                <c:pt idx="34">
                  <c:v>272.20242034313725</c:v>
                </c:pt>
                <c:pt idx="35">
                  <c:v>272.20242034313725</c:v>
                </c:pt>
                <c:pt idx="36">
                  <c:v>272.20242034313725</c:v>
                </c:pt>
                <c:pt idx="37">
                  <c:v>272.20242034313725</c:v>
                </c:pt>
                <c:pt idx="38">
                  <c:v>272.20242034313725</c:v>
                </c:pt>
                <c:pt idx="39">
                  <c:v>272.20242034313725</c:v>
                </c:pt>
                <c:pt idx="40">
                  <c:v>272.20242034313725</c:v>
                </c:pt>
                <c:pt idx="41">
                  <c:v>272.20242034313725</c:v>
                </c:pt>
                <c:pt idx="42">
                  <c:v>272.20242034313725</c:v>
                </c:pt>
                <c:pt idx="43">
                  <c:v>272.20242034313725</c:v>
                </c:pt>
                <c:pt idx="44">
                  <c:v>272.20242034313725</c:v>
                </c:pt>
                <c:pt idx="45">
                  <c:v>272.20242034313725</c:v>
                </c:pt>
                <c:pt idx="46">
                  <c:v>272.20242034313725</c:v>
                </c:pt>
                <c:pt idx="47">
                  <c:v>272.20242034313725</c:v>
                </c:pt>
                <c:pt idx="48">
                  <c:v>272.20242034313725</c:v>
                </c:pt>
                <c:pt idx="49">
                  <c:v>272.20242034313725</c:v>
                </c:pt>
                <c:pt idx="50">
                  <c:v>272.20242034313725</c:v>
                </c:pt>
                <c:pt idx="51">
                  <c:v>272.20242034313725</c:v>
                </c:pt>
                <c:pt idx="52">
                  <c:v>272.20242034313725</c:v>
                </c:pt>
                <c:pt idx="53">
                  <c:v>272.20242034313725</c:v>
                </c:pt>
                <c:pt idx="54">
                  <c:v>272.20242034313725</c:v>
                </c:pt>
                <c:pt idx="55">
                  <c:v>272.20242034313725</c:v>
                </c:pt>
                <c:pt idx="56">
                  <c:v>272.20242034313725</c:v>
                </c:pt>
                <c:pt idx="57">
                  <c:v>272.20242034313725</c:v>
                </c:pt>
                <c:pt idx="58">
                  <c:v>272.20242034313725</c:v>
                </c:pt>
                <c:pt idx="59">
                  <c:v>272.20242034313725</c:v>
                </c:pt>
                <c:pt idx="60">
                  <c:v>272.20242034313725</c:v>
                </c:pt>
                <c:pt idx="61">
                  <c:v>272.20242034313725</c:v>
                </c:pt>
                <c:pt idx="62">
                  <c:v>272.20242034313725</c:v>
                </c:pt>
                <c:pt idx="63">
                  <c:v>272.20242034313725</c:v>
                </c:pt>
                <c:pt idx="64">
                  <c:v>272.20242034313725</c:v>
                </c:pt>
                <c:pt idx="65">
                  <c:v>272.20242034313725</c:v>
                </c:pt>
                <c:pt idx="66">
                  <c:v>272.20242034313725</c:v>
                </c:pt>
                <c:pt idx="67">
                  <c:v>272.20242034313725</c:v>
                </c:pt>
                <c:pt idx="68">
                  <c:v>272.20242034313725</c:v>
                </c:pt>
                <c:pt idx="69">
                  <c:v>272.20242034313725</c:v>
                </c:pt>
                <c:pt idx="70">
                  <c:v>272.20242034313725</c:v>
                </c:pt>
                <c:pt idx="71">
                  <c:v>272.20242034313725</c:v>
                </c:pt>
                <c:pt idx="72">
                  <c:v>272.20242034313725</c:v>
                </c:pt>
                <c:pt idx="73">
                  <c:v>272.20242034313725</c:v>
                </c:pt>
                <c:pt idx="74">
                  <c:v>272.20242034313725</c:v>
                </c:pt>
                <c:pt idx="75">
                  <c:v>272.20242034313725</c:v>
                </c:pt>
                <c:pt idx="76">
                  <c:v>272.20242034313725</c:v>
                </c:pt>
                <c:pt idx="77">
                  <c:v>272.20242034313725</c:v>
                </c:pt>
                <c:pt idx="78">
                  <c:v>272.20242034313725</c:v>
                </c:pt>
                <c:pt idx="79">
                  <c:v>272.20242034313725</c:v>
                </c:pt>
                <c:pt idx="80">
                  <c:v>272.20242034313725</c:v>
                </c:pt>
                <c:pt idx="81">
                  <c:v>272.20242034313725</c:v>
                </c:pt>
                <c:pt idx="82">
                  <c:v>272.20242034313725</c:v>
                </c:pt>
                <c:pt idx="83">
                  <c:v>272.20242034313725</c:v>
                </c:pt>
                <c:pt idx="84">
                  <c:v>272.20242034313725</c:v>
                </c:pt>
                <c:pt idx="85">
                  <c:v>272.20242034313725</c:v>
                </c:pt>
                <c:pt idx="86">
                  <c:v>272.20242034313725</c:v>
                </c:pt>
                <c:pt idx="87">
                  <c:v>272.20242034313725</c:v>
                </c:pt>
                <c:pt idx="88">
                  <c:v>272.20242034313725</c:v>
                </c:pt>
                <c:pt idx="89">
                  <c:v>272.20242034313725</c:v>
                </c:pt>
                <c:pt idx="90">
                  <c:v>272.20242034313725</c:v>
                </c:pt>
                <c:pt idx="91">
                  <c:v>272.20242034313725</c:v>
                </c:pt>
                <c:pt idx="92">
                  <c:v>272.20242034313725</c:v>
                </c:pt>
                <c:pt idx="93">
                  <c:v>272.20242034313725</c:v>
                </c:pt>
                <c:pt idx="94">
                  <c:v>272.20242034313725</c:v>
                </c:pt>
                <c:pt idx="95">
                  <c:v>272.20242034313725</c:v>
                </c:pt>
                <c:pt idx="96">
                  <c:v>272.20242034313725</c:v>
                </c:pt>
                <c:pt idx="97">
                  <c:v>272.20242034313725</c:v>
                </c:pt>
                <c:pt idx="98">
                  <c:v>272.20242034313725</c:v>
                </c:pt>
                <c:pt idx="99">
                  <c:v>272.20242034313725</c:v>
                </c:pt>
              </c:numCache>
            </c:numRef>
          </c:val>
          <c:smooth val="0"/>
          <c:extLst xmlns:c16r2="http://schemas.microsoft.com/office/drawing/2015/06/chart">
            <c:ext xmlns:c16="http://schemas.microsoft.com/office/drawing/2014/chart" uri="{C3380CC4-5D6E-409C-BE32-E72D297353CC}">
              <c16:uniqueId val="{0000000A-A8FA-4C66-8C97-522FF5667D30}"/>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114.88096813725491</c:v>
                </c:pt>
                <c:pt idx="1">
                  <c:v>114.88096813725491</c:v>
                </c:pt>
                <c:pt idx="2">
                  <c:v>114.88096813725491</c:v>
                </c:pt>
                <c:pt idx="3">
                  <c:v>114.88096813725491</c:v>
                </c:pt>
                <c:pt idx="4">
                  <c:v>114.88096813725491</c:v>
                </c:pt>
                <c:pt idx="5">
                  <c:v>114.88096813725491</c:v>
                </c:pt>
                <c:pt idx="6">
                  <c:v>114.88096813725491</c:v>
                </c:pt>
                <c:pt idx="7">
                  <c:v>114.88096813725491</c:v>
                </c:pt>
                <c:pt idx="8">
                  <c:v>114.88096813725491</c:v>
                </c:pt>
                <c:pt idx="9">
                  <c:v>114.88096813725491</c:v>
                </c:pt>
                <c:pt idx="10">
                  <c:v>114.88096813725491</c:v>
                </c:pt>
                <c:pt idx="11">
                  <c:v>114.88096813725491</c:v>
                </c:pt>
                <c:pt idx="12">
                  <c:v>114.88096813725491</c:v>
                </c:pt>
                <c:pt idx="13">
                  <c:v>114.88096813725491</c:v>
                </c:pt>
                <c:pt idx="14">
                  <c:v>114.88096813725491</c:v>
                </c:pt>
                <c:pt idx="15">
                  <c:v>114.88096813725491</c:v>
                </c:pt>
                <c:pt idx="16">
                  <c:v>114.88096813725491</c:v>
                </c:pt>
                <c:pt idx="17">
                  <c:v>114.88096813725491</c:v>
                </c:pt>
                <c:pt idx="18">
                  <c:v>114.88096813725491</c:v>
                </c:pt>
                <c:pt idx="19">
                  <c:v>114.88096813725491</c:v>
                </c:pt>
                <c:pt idx="20">
                  <c:v>114.88096813725491</c:v>
                </c:pt>
                <c:pt idx="21">
                  <c:v>114.88096813725491</c:v>
                </c:pt>
                <c:pt idx="22">
                  <c:v>114.88096813725491</c:v>
                </c:pt>
                <c:pt idx="23">
                  <c:v>114.88096813725491</c:v>
                </c:pt>
                <c:pt idx="24">
                  <c:v>114.88096813725491</c:v>
                </c:pt>
                <c:pt idx="25">
                  <c:v>114.88096813725491</c:v>
                </c:pt>
                <c:pt idx="26">
                  <c:v>114.88096813725491</c:v>
                </c:pt>
                <c:pt idx="27">
                  <c:v>114.88096813725491</c:v>
                </c:pt>
                <c:pt idx="28">
                  <c:v>114.88096813725491</c:v>
                </c:pt>
                <c:pt idx="29">
                  <c:v>114.88096813725491</c:v>
                </c:pt>
                <c:pt idx="30">
                  <c:v>114.88096813725491</c:v>
                </c:pt>
                <c:pt idx="31">
                  <c:v>114.88096813725491</c:v>
                </c:pt>
                <c:pt idx="32">
                  <c:v>114.88096813725491</c:v>
                </c:pt>
                <c:pt idx="33">
                  <c:v>114.88096813725491</c:v>
                </c:pt>
                <c:pt idx="34">
                  <c:v>114.88096813725491</c:v>
                </c:pt>
                <c:pt idx="35">
                  <c:v>114.88096813725491</c:v>
                </c:pt>
                <c:pt idx="36">
                  <c:v>114.88096813725491</c:v>
                </c:pt>
                <c:pt idx="37">
                  <c:v>114.88096813725491</c:v>
                </c:pt>
                <c:pt idx="38">
                  <c:v>114.88096813725491</c:v>
                </c:pt>
                <c:pt idx="39">
                  <c:v>114.88096813725491</c:v>
                </c:pt>
                <c:pt idx="40">
                  <c:v>114.88096813725491</c:v>
                </c:pt>
                <c:pt idx="41">
                  <c:v>114.88096813725491</c:v>
                </c:pt>
                <c:pt idx="42">
                  <c:v>114.88096813725491</c:v>
                </c:pt>
                <c:pt idx="43">
                  <c:v>114.88096813725491</c:v>
                </c:pt>
                <c:pt idx="44">
                  <c:v>114.88096813725491</c:v>
                </c:pt>
                <c:pt idx="45">
                  <c:v>114.88096813725491</c:v>
                </c:pt>
                <c:pt idx="46">
                  <c:v>114.88096813725491</c:v>
                </c:pt>
                <c:pt idx="47">
                  <c:v>114.88096813725491</c:v>
                </c:pt>
                <c:pt idx="48">
                  <c:v>114.88096813725491</c:v>
                </c:pt>
                <c:pt idx="49">
                  <c:v>114.88096813725491</c:v>
                </c:pt>
                <c:pt idx="50">
                  <c:v>114.88096813725491</c:v>
                </c:pt>
                <c:pt idx="51">
                  <c:v>114.88096813725491</c:v>
                </c:pt>
                <c:pt idx="52">
                  <c:v>114.88096813725491</c:v>
                </c:pt>
                <c:pt idx="53">
                  <c:v>114.88096813725491</c:v>
                </c:pt>
                <c:pt idx="54">
                  <c:v>114.88096813725491</c:v>
                </c:pt>
                <c:pt idx="55">
                  <c:v>114.88096813725491</c:v>
                </c:pt>
                <c:pt idx="56">
                  <c:v>114.88096813725491</c:v>
                </c:pt>
                <c:pt idx="57">
                  <c:v>114.88096813725491</c:v>
                </c:pt>
                <c:pt idx="58">
                  <c:v>114.88096813725491</c:v>
                </c:pt>
                <c:pt idx="59">
                  <c:v>114.88096813725491</c:v>
                </c:pt>
                <c:pt idx="60">
                  <c:v>114.88096813725491</c:v>
                </c:pt>
                <c:pt idx="61">
                  <c:v>114.88096813725491</c:v>
                </c:pt>
                <c:pt idx="62">
                  <c:v>114.88096813725491</c:v>
                </c:pt>
                <c:pt idx="63">
                  <c:v>114.88096813725491</c:v>
                </c:pt>
                <c:pt idx="64">
                  <c:v>114.88096813725491</c:v>
                </c:pt>
                <c:pt idx="65">
                  <c:v>114.88096813725491</c:v>
                </c:pt>
                <c:pt idx="66">
                  <c:v>114.88096813725491</c:v>
                </c:pt>
                <c:pt idx="67">
                  <c:v>114.88096813725491</c:v>
                </c:pt>
                <c:pt idx="68">
                  <c:v>114.88096813725491</c:v>
                </c:pt>
                <c:pt idx="69">
                  <c:v>114.88096813725491</c:v>
                </c:pt>
                <c:pt idx="70">
                  <c:v>114.88096813725491</c:v>
                </c:pt>
                <c:pt idx="71">
                  <c:v>114.88096813725491</c:v>
                </c:pt>
                <c:pt idx="72">
                  <c:v>114.88096813725491</c:v>
                </c:pt>
                <c:pt idx="73">
                  <c:v>114.88096813725491</c:v>
                </c:pt>
                <c:pt idx="74">
                  <c:v>114.88096813725491</c:v>
                </c:pt>
                <c:pt idx="75">
                  <c:v>114.88096813725491</c:v>
                </c:pt>
                <c:pt idx="76">
                  <c:v>114.88096813725491</c:v>
                </c:pt>
                <c:pt idx="77">
                  <c:v>114.88096813725491</c:v>
                </c:pt>
                <c:pt idx="78">
                  <c:v>114.88096813725491</c:v>
                </c:pt>
                <c:pt idx="79">
                  <c:v>114.88096813725491</c:v>
                </c:pt>
                <c:pt idx="80">
                  <c:v>114.88096813725491</c:v>
                </c:pt>
                <c:pt idx="81">
                  <c:v>114.88096813725491</c:v>
                </c:pt>
                <c:pt idx="82">
                  <c:v>114.88096813725491</c:v>
                </c:pt>
                <c:pt idx="83">
                  <c:v>114.88096813725491</c:v>
                </c:pt>
                <c:pt idx="84">
                  <c:v>114.88096813725491</c:v>
                </c:pt>
                <c:pt idx="85">
                  <c:v>114.88096813725491</c:v>
                </c:pt>
                <c:pt idx="86">
                  <c:v>114.88096813725491</c:v>
                </c:pt>
                <c:pt idx="87">
                  <c:v>114.88096813725491</c:v>
                </c:pt>
                <c:pt idx="88">
                  <c:v>114.88096813725491</c:v>
                </c:pt>
                <c:pt idx="89">
                  <c:v>114.88096813725491</c:v>
                </c:pt>
                <c:pt idx="90">
                  <c:v>114.88096813725491</c:v>
                </c:pt>
                <c:pt idx="91">
                  <c:v>114.88096813725491</c:v>
                </c:pt>
                <c:pt idx="92">
                  <c:v>114.88096813725491</c:v>
                </c:pt>
                <c:pt idx="93">
                  <c:v>114.88096813725491</c:v>
                </c:pt>
                <c:pt idx="94">
                  <c:v>114.88096813725491</c:v>
                </c:pt>
                <c:pt idx="95">
                  <c:v>114.88096813725491</c:v>
                </c:pt>
                <c:pt idx="96">
                  <c:v>114.88096813725491</c:v>
                </c:pt>
                <c:pt idx="97">
                  <c:v>114.88096813725491</c:v>
                </c:pt>
                <c:pt idx="98">
                  <c:v>114.88096813725491</c:v>
                </c:pt>
                <c:pt idx="99">
                  <c:v>114.88096813725491</c:v>
                </c:pt>
              </c:numCache>
            </c:numRef>
          </c:val>
          <c:smooth val="1"/>
          <c:extLst xmlns:c16r2="http://schemas.microsoft.com/office/drawing/2015/06/chart">
            <c:ext xmlns:c16="http://schemas.microsoft.com/office/drawing/2014/chart" uri="{C3380CC4-5D6E-409C-BE32-E72D297353CC}">
              <c16:uniqueId val="{0000000B-A8FA-4C66-8C97-522FF5667D30}"/>
            </c:ext>
          </c:extLst>
        </c:ser>
        <c:dLbls>
          <c:showLegendKey val="0"/>
          <c:showVal val="0"/>
          <c:showCatName val="0"/>
          <c:showSerName val="0"/>
          <c:showPercent val="0"/>
          <c:showBubbleSize val="0"/>
        </c:dLbls>
        <c:marker val="1"/>
        <c:smooth val="0"/>
        <c:axId val="196948880"/>
        <c:axId val="196949440"/>
      </c:lineChart>
      <c:catAx>
        <c:axId val="196948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6949440"/>
        <c:crosses val="autoZero"/>
        <c:auto val="1"/>
        <c:lblAlgn val="ctr"/>
        <c:lblOffset val="500"/>
        <c:tickLblSkip val="5"/>
        <c:tickMarkSkip val="10"/>
        <c:noMultiLvlLbl val="0"/>
      </c:catAx>
      <c:valAx>
        <c:axId val="1969494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948880"/>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trlProps/ctrlProp1.xml><?xml version="1.0" encoding="utf-8"?>
<formControlPr xmlns="http://schemas.microsoft.com/office/spreadsheetml/2009/9/main" objectType="CheckBox" checked="Checked" fmlaLink="списки!$C$3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checked="Checked"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checked="Checked"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checked="Checked"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a:extLst>
            <a:ext uri="{FF2B5EF4-FFF2-40B4-BE49-F238E27FC236}">
              <a16:creationId xmlns="" xmlns:a16="http://schemas.microsoft.com/office/drawing/2014/main" id="{00000000-0008-0000-01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a:extLst>
            <a:ext uri="{FF2B5EF4-FFF2-40B4-BE49-F238E27FC236}">
              <a16:creationId xmlns=""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a:extLst>
            <a:ext uri="{FF2B5EF4-FFF2-40B4-BE49-F238E27FC236}">
              <a16:creationId xmlns="" xmlns:a16="http://schemas.microsoft.com/office/drawing/2014/main" id="{00000000-0008-0000-01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a:extLst>
            <a:ext uri="{FF2B5EF4-FFF2-40B4-BE49-F238E27FC236}">
              <a16:creationId xmlns=""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a:extLst>
            <a:ext uri="{FF2B5EF4-FFF2-40B4-BE49-F238E27FC236}">
              <a16:creationId xmlns=""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a:extLst>
            <a:ext uri="{FF2B5EF4-FFF2-40B4-BE49-F238E27FC236}">
              <a16:creationId xmlns=""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a:extLst>
            <a:ext uri="{FF2B5EF4-FFF2-40B4-BE49-F238E27FC236}">
              <a16:creationId xmlns="" xmlns:a16="http://schemas.microsoft.com/office/drawing/2014/main" id="{00000000-0008-0000-0100-00000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a:extLst>
            <a:ext uri="{FF2B5EF4-FFF2-40B4-BE49-F238E27FC236}">
              <a16:creationId xmlns="" xmlns:a16="http://schemas.microsoft.com/office/drawing/2014/main" id="{00000000-0008-0000-0100-00000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a:extLst>
            <a:ext uri="{FF2B5EF4-FFF2-40B4-BE49-F238E27FC236}">
              <a16:creationId xmlns=""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a:extLst>
            <a:ext uri="{FF2B5EF4-FFF2-40B4-BE49-F238E27FC236}">
              <a16:creationId xmlns=""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a:extLst>
            <a:ext uri="{FF2B5EF4-FFF2-40B4-BE49-F238E27FC236}">
              <a16:creationId xmlns=""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a:extLst>
            <a:ext uri="{FF2B5EF4-FFF2-40B4-BE49-F238E27FC236}">
              <a16:creationId xmlns=""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a:extLst>
            <a:ext uri="{FF2B5EF4-FFF2-40B4-BE49-F238E27FC236}">
              <a16:creationId xmlns=""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a:extLst>
            <a:ext uri="{FF2B5EF4-FFF2-40B4-BE49-F238E27FC236}">
              <a16:creationId xmlns=""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a:extLst>
            <a:ext uri="{FF2B5EF4-FFF2-40B4-BE49-F238E27FC236}">
              <a16:creationId xmlns="" xmlns:a16="http://schemas.microsoft.com/office/drawing/2014/main" id="{00000000-0008-0000-0200-00002E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a:extLst>
            <a:ext uri="{FF2B5EF4-FFF2-40B4-BE49-F238E27FC236}">
              <a16:creationId xmlns="" xmlns:a16="http://schemas.microsoft.com/office/drawing/2014/main" id="{00000000-0008-0000-0200-000041000000}"/>
            </a:ext>
          </a:extLst>
        </xdr:cNvPr>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a:extLst>
            <a:ext uri="{FF2B5EF4-FFF2-40B4-BE49-F238E27FC236}">
              <a16:creationId xmlns=""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a:extLst>
            <a:ext uri="{FF2B5EF4-FFF2-40B4-BE49-F238E27FC236}">
              <a16:creationId xmlns=""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a:extLst>
            <a:ext uri="{FF2B5EF4-FFF2-40B4-BE49-F238E27FC236}">
              <a16:creationId xmlns="" xmlns:a16="http://schemas.microsoft.com/office/drawing/2014/main" id="{00000000-0008-0000-0200-000030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a:extLst>
            <a:ext uri="{FF2B5EF4-FFF2-40B4-BE49-F238E27FC236}">
              <a16:creationId xmlns="" xmlns:a16="http://schemas.microsoft.com/office/drawing/2014/main" id="{00000000-0008-0000-0200-000005000000}"/>
            </a:ext>
          </a:extLst>
        </xdr:cNvPr>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200-00003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a:extLst>
            <a:ext uri="{FF2B5EF4-FFF2-40B4-BE49-F238E27FC236}">
              <a16:creationId xmlns=""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a:extLst>
            <a:ext uri="{FF2B5EF4-FFF2-40B4-BE49-F238E27FC236}">
              <a16:creationId xmlns="" xmlns:a16="http://schemas.microsoft.com/office/drawing/2014/main" id="{00000000-0008-0000-0200-000037000000}"/>
            </a:ext>
          </a:extLst>
        </xdr:cNvPr>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a:extLst>
            <a:ext uri="{FF2B5EF4-FFF2-40B4-BE49-F238E27FC236}">
              <a16:creationId xmlns="" xmlns:a16="http://schemas.microsoft.com/office/drawing/2014/main" id="{00000000-0008-0000-0200-000003000000}"/>
            </a:ext>
          </a:extLst>
        </xdr:cNvPr>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a:extLst>
            <a:ext uri="{FF2B5EF4-FFF2-40B4-BE49-F238E27FC236}">
              <a16:creationId xmlns="" xmlns:a16="http://schemas.microsoft.com/office/drawing/2014/main" id="{00000000-0008-0000-0200-000039000000}"/>
            </a:ext>
          </a:extLst>
        </xdr:cNvPr>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a:extLst>
            <a:ext uri="{FF2B5EF4-FFF2-40B4-BE49-F238E27FC236}">
              <a16:creationId xmlns="" xmlns:a16="http://schemas.microsoft.com/office/drawing/2014/main" id="{00000000-0008-0000-0200-00003A000000}"/>
            </a:ext>
          </a:extLst>
        </xdr:cNvPr>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a:extLst>
            <a:ext uri="{FF2B5EF4-FFF2-40B4-BE49-F238E27FC236}">
              <a16:creationId xmlns="" xmlns:a16="http://schemas.microsoft.com/office/drawing/2014/main" id="{00000000-0008-0000-0200-000004000000}"/>
            </a:ext>
          </a:extLst>
        </xdr:cNvPr>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a:extLst>
            <a:ext uri="{FF2B5EF4-FFF2-40B4-BE49-F238E27FC236}">
              <a16:creationId xmlns="" xmlns:a16="http://schemas.microsoft.com/office/drawing/2014/main" id="{00000000-0008-0000-0200-000006000000}"/>
            </a:ext>
          </a:extLst>
        </xdr:cNvPr>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a:extLst>
            <a:ext uri="{FF2B5EF4-FFF2-40B4-BE49-F238E27FC236}">
              <a16:creationId xmlns="" xmlns:a16="http://schemas.microsoft.com/office/drawing/2014/main" id="{00000000-0008-0000-0200-00003D000000}"/>
            </a:ext>
          </a:extLst>
        </xdr:cNvPr>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a:extLst>
            <a:ext uri="{FF2B5EF4-FFF2-40B4-BE49-F238E27FC236}">
              <a16:creationId xmlns="" xmlns:a16="http://schemas.microsoft.com/office/drawing/2014/main" id="{00000000-0008-0000-0200-00003E000000}"/>
            </a:ext>
          </a:extLst>
        </xdr:cNvPr>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a:extLst>
                <a:ext uri="{FF2B5EF4-FFF2-40B4-BE49-F238E27FC236}">
                  <a16:creationId xmlns="" xmlns:a16="http://schemas.microsoft.com/office/drawing/2014/main" id="{00000000-0008-0000-0200-000009000000}"/>
                </a:ext>
              </a:extLst>
            </xdr:cNvPr>
            <xdr:cNvGrpSpPr/>
          </xdr:nvGrpSpPr>
          <xdr:grpSpPr>
            <a:xfrm>
              <a:off x="425450" y="690054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a:extLst>
                  <a:ext uri="{FF2B5EF4-FFF2-40B4-BE49-F238E27FC236}">
                    <a16:creationId xmlns="" xmlns:a16="http://schemas.microsoft.com/office/drawing/2014/main" id="{00000000-0008-0000-0200-000008000000}"/>
                  </a:ext>
                </a:extLst>
              </xdr:cNvPr>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a:extLst>
            <a:ext uri="{FF2B5EF4-FFF2-40B4-BE49-F238E27FC236}">
              <a16:creationId xmlns="" xmlns:a16="http://schemas.microsoft.com/office/drawing/2014/main" id="{00000000-0008-0000-0300-000002000000}"/>
            </a:ext>
          </a:extLst>
        </xdr:cNvPr>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a:extLst>
            <a:ext uri="{FF2B5EF4-FFF2-40B4-BE49-F238E27FC236}">
              <a16:creationId xmlns="" xmlns:a16="http://schemas.microsoft.com/office/drawing/2014/main" id="{00000000-0008-0000-0300-00002A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a:extLst>
            <a:ext uri="{FF2B5EF4-FFF2-40B4-BE49-F238E27FC236}">
              <a16:creationId xmlns="" xmlns:a16="http://schemas.microsoft.com/office/drawing/2014/main" id="{00000000-0008-0000-0300-000003000000}"/>
            </a:ext>
          </a:extLst>
        </xdr:cNvPr>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a:extLst>
            <a:ext uri="{FF2B5EF4-FFF2-40B4-BE49-F238E27FC236}">
              <a16:creationId xmlns="" xmlns:a16="http://schemas.microsoft.com/office/drawing/2014/main" id="{00000000-0008-0000-04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a:extLst>
            <a:ext uri="{FF2B5EF4-FFF2-40B4-BE49-F238E27FC236}">
              <a16:creationId xmlns="" xmlns:a16="http://schemas.microsoft.com/office/drawing/2014/main" id="{00000000-0008-0000-0400-000007000000}"/>
            </a:ext>
          </a:extLst>
        </xdr:cNvPr>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a:extLst>
            <a:ext uri="{FF2B5EF4-FFF2-40B4-BE49-F238E27FC236}">
              <a16:creationId xmlns="" xmlns:a16="http://schemas.microsoft.com/office/drawing/2014/main" id="{00000000-0008-0000-0400-000008000000}"/>
            </a:ext>
          </a:extLst>
        </xdr:cNvPr>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a:extLst>
            <a:ext uri="{FF2B5EF4-FFF2-40B4-BE49-F238E27FC236}">
              <a16:creationId xmlns=""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a:extLst>
            <a:ext uri="{FF2B5EF4-FFF2-40B4-BE49-F238E27FC236}">
              <a16:creationId xmlns=""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854675</xdr:colOff>
      <xdr:row>2</xdr:row>
      <xdr:rowOff>155116</xdr:rowOff>
    </xdr:from>
    <xdr:to>
      <xdr:col>19</xdr:col>
      <xdr:colOff>12609</xdr:colOff>
      <xdr:row>29</xdr:row>
      <xdr:rowOff>331306</xdr:rowOff>
    </xdr:to>
    <xdr:graphicFrame macro="">
      <xdr:nvGraphicFramePr>
        <xdr:cNvPr id="5" name="Диаграмма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B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39" t="s">
        <v>1715</v>
      </c>
      <c r="D3" s="1939"/>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0" t="s">
        <v>1716</v>
      </c>
      <c r="D4" s="1940"/>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1" t="s">
        <v>1978</v>
      </c>
      <c r="D5" s="1941"/>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1" t="s">
        <v>1979</v>
      </c>
      <c r="D7" s="1941"/>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1" t="s">
        <v>1980</v>
      </c>
      <c r="D9" s="1941"/>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1" t="s">
        <v>1990</v>
      </c>
      <c r="D11" s="1941"/>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2472</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38" t="s">
        <v>1571</v>
      </c>
      <c r="D13" s="1938"/>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2504</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55" t="s">
        <v>1155</v>
      </c>
      <c r="B3" s="2455"/>
      <c r="C3" s="2455"/>
      <c r="D3" s="2455"/>
      <c r="E3" s="2455"/>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56" t="s">
        <v>829</v>
      </c>
      <c r="B4" s="2458" t="s">
        <v>1157</v>
      </c>
      <c r="C4" s="2462" t="s">
        <v>1301</v>
      </c>
      <c r="D4" s="2460" t="s">
        <v>1300</v>
      </c>
      <c r="E4" s="50"/>
      <c r="F4" s="50"/>
      <c r="G4" s="2500" t="s">
        <v>829</v>
      </c>
      <c r="H4" s="2499" t="s">
        <v>1157</v>
      </c>
      <c r="I4" s="2499" t="s">
        <v>488</v>
      </c>
      <c r="J4" s="2499"/>
      <c r="K4" s="2499" t="s">
        <v>489</v>
      </c>
      <c r="L4" s="2499"/>
      <c r="M4" s="2499" t="s">
        <v>490</v>
      </c>
      <c r="N4" s="2499"/>
      <c r="O4" s="2499" t="s">
        <v>491</v>
      </c>
      <c r="P4" s="2499"/>
      <c r="Q4" s="2499" t="s">
        <v>800</v>
      </c>
      <c r="R4" s="2499"/>
      <c r="S4" s="2499" t="s">
        <v>801</v>
      </c>
      <c r="T4" s="2499"/>
      <c r="U4" s="2499" t="s">
        <v>802</v>
      </c>
      <c r="V4" s="2499"/>
      <c r="W4" s="2499" t="s">
        <v>803</v>
      </c>
      <c r="X4" s="2499"/>
      <c r="Y4" s="2499" t="s">
        <v>804</v>
      </c>
      <c r="Z4" s="2499"/>
      <c r="AA4" s="2499" t="s">
        <v>482</v>
      </c>
      <c r="AB4" s="2499"/>
      <c r="AC4" s="2499" t="s">
        <v>486</v>
      </c>
      <c r="AD4" s="2499"/>
      <c r="AE4" s="2499" t="s">
        <v>487</v>
      </c>
      <c r="AF4" s="2499"/>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493"/>
      <c r="B5" s="2494"/>
      <c r="C5" s="2496"/>
      <c r="D5" s="2495"/>
      <c r="E5" s="50"/>
      <c r="F5" s="50"/>
      <c r="G5" s="2501"/>
      <c r="H5" s="2502"/>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'Расчет базового уровня'!D6</f>
        <v>2250020.23</v>
      </c>
      <c r="D6" s="273">
        <f ca="1">D12+D15+D18</f>
        <v>2014242.3267523241</v>
      </c>
      <c r="E6" s="50"/>
      <c r="F6" s="50"/>
      <c r="G6" s="271" t="s">
        <v>1161</v>
      </c>
      <c r="H6" s="272" t="s">
        <v>837</v>
      </c>
      <c r="I6" s="274">
        <f>'Расчет базового уровня'!J6</f>
        <v>315482.34999999998</v>
      </c>
      <c r="J6" s="274">
        <f ca="1">J12+J15+J18</f>
        <v>314913.56509159663</v>
      </c>
      <c r="K6" s="274">
        <f>'Расчет базового уровня'!M6</f>
        <v>286681.14</v>
      </c>
      <c r="L6" s="274">
        <f ca="1">L12+L15+L18</f>
        <v>286308.43682545068</v>
      </c>
      <c r="M6" s="274">
        <f>'Расчет базового уровня'!P6</f>
        <v>308640.84999999998</v>
      </c>
      <c r="N6" s="274">
        <f ca="1">N12+N15+N18</f>
        <v>304547.45244112308</v>
      </c>
      <c r="O6" s="274">
        <f>'Расчет базового уровня'!S6</f>
        <v>226623.69000000003</v>
      </c>
      <c r="P6" s="274">
        <f ca="1">P12+P15+P18</f>
        <v>195114.55134440458</v>
      </c>
      <c r="Q6" s="274">
        <f>'Расчет базового уровня'!V6</f>
        <v>125168.39000000001</v>
      </c>
      <c r="R6" s="274">
        <f ca="1">R12+R15+R18</f>
        <v>105361.68646840184</v>
      </c>
      <c r="S6" s="274">
        <f>'Расчет базового уровня'!Y6</f>
        <v>45807.899999999994</v>
      </c>
      <c r="T6" s="274">
        <f ca="1">T12+T15+T18</f>
        <v>45944.23333333333</v>
      </c>
      <c r="U6" s="274">
        <f>'Расчет базового уровня'!AB6</f>
        <v>34381.54</v>
      </c>
      <c r="V6" s="274">
        <f ca="1">V12+V15+V18</f>
        <v>34639.873333333337</v>
      </c>
      <c r="W6" s="274">
        <f>'Расчет базового уровня'!AE6</f>
        <v>32357.550000000003</v>
      </c>
      <c r="X6" s="274">
        <f ca="1">X12+X15+X18</f>
        <v>32627.883333333331</v>
      </c>
      <c r="Y6" s="274">
        <f>'Расчет базового уровня'!AH6</f>
        <v>122220.19</v>
      </c>
      <c r="Z6" s="274">
        <f ca="1">Z12+Z15+Z18</f>
        <v>97043.626845816369</v>
      </c>
      <c r="AA6" s="274">
        <f>'Расчет базового уровня'!AK6</f>
        <v>227615.25000000003</v>
      </c>
      <c r="AB6" s="274">
        <f ca="1">AB12+AB15+AB18</f>
        <v>192658.20910832495</v>
      </c>
      <c r="AC6" s="274">
        <f>'Расчет базового уровня'!AN6</f>
        <v>240987.93</v>
      </c>
      <c r="AD6" s="274">
        <f ca="1">AD12+AD15+AD18</f>
        <v>220039.00916852732</v>
      </c>
      <c r="AE6" s="274">
        <f>'Расчет базового уровня'!AQ6</f>
        <v>284053.45</v>
      </c>
      <c r="AF6" s="274">
        <f ca="1">AF12+AF15+AF18</f>
        <v>151004.46731821776</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235777.90324767586</v>
      </c>
      <c r="E7" s="50"/>
      <c r="F7" s="50"/>
      <c r="G7" s="275" t="s">
        <v>1302</v>
      </c>
      <c r="H7" s="272" t="s">
        <v>837</v>
      </c>
      <c r="I7" s="276"/>
      <c r="J7" s="276">
        <f ca="1">I6-J6</f>
        <v>568.78490840335144</v>
      </c>
      <c r="K7" s="276"/>
      <c r="L7" s="276">
        <f ca="1">K6-L6</f>
        <v>372.70317454932956</v>
      </c>
      <c r="M7" s="276"/>
      <c r="N7" s="276">
        <f ca="1">M6-N6</f>
        <v>4093.3975588768953</v>
      </c>
      <c r="O7" s="276"/>
      <c r="P7" s="276">
        <f ca="1">O6-P6</f>
        <v>31509.138655595452</v>
      </c>
      <c r="Q7" s="276"/>
      <c r="R7" s="276">
        <f ca="1">Q6-R6</f>
        <v>19806.703531598178</v>
      </c>
      <c r="S7" s="276"/>
      <c r="T7" s="276">
        <f ca="1">S6-T6</f>
        <v>-136.33333333333576</v>
      </c>
      <c r="U7" s="276"/>
      <c r="V7" s="276">
        <f ca="1">U6-V6</f>
        <v>-258.33333333333576</v>
      </c>
      <c r="W7" s="276"/>
      <c r="X7" s="276">
        <f ca="1">W6-X6</f>
        <v>-270.33333333332848</v>
      </c>
      <c r="Y7" s="276"/>
      <c r="Z7" s="276">
        <f ca="1">Y6-Z6</f>
        <v>25176.563154183634</v>
      </c>
      <c r="AA7" s="276"/>
      <c r="AB7" s="276">
        <f ca="1">AA6-AB6</f>
        <v>34957.040891675075</v>
      </c>
      <c r="AC7" s="276"/>
      <c r="AD7" s="276">
        <f ca="1">AC6-AD6</f>
        <v>20948.920831472671</v>
      </c>
      <c r="AE7" s="276"/>
      <c r="AF7" s="276">
        <f ca="1">AE6-AF6</f>
        <v>133048.98268178225</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0.1047892370495157</v>
      </c>
      <c r="E8" s="50"/>
      <c r="F8" s="50"/>
      <c r="G8" s="275" t="s">
        <v>868</v>
      </c>
      <c r="H8" s="277" t="s">
        <v>1164</v>
      </c>
      <c r="I8" s="278"/>
      <c r="J8" s="278">
        <f ca="1">IF(I6=0,0,J7/I6)</f>
        <v>1.8029056408491678E-3</v>
      </c>
      <c r="K8" s="278"/>
      <c r="L8" s="278">
        <f ca="1">IF(K6=0,0,L7/K6)</f>
        <v>1.3000617150794418E-3</v>
      </c>
      <c r="M8" s="278"/>
      <c r="N8" s="278">
        <f ca="1">IF(M6=0,0,N7/M6)</f>
        <v>1.3262656446406545E-2</v>
      </c>
      <c r="O8" s="278"/>
      <c r="P8" s="278">
        <f ca="1">IF(O6=0,0,P7/O6)</f>
        <v>0.13903726770839997</v>
      </c>
      <c r="Q8" s="278"/>
      <c r="R8" s="278">
        <f ca="1">IF(Q6=0,0,R7/Q6)</f>
        <v>0.1582404593651654</v>
      </c>
      <c r="S8" s="278"/>
      <c r="T8" s="278">
        <f ca="1">IF(S6=0,0,T7/S6)</f>
        <v>-2.9761969733023293E-3</v>
      </c>
      <c r="U8" s="278"/>
      <c r="V8" s="278">
        <f ca="1">IF(U6=0,0,V7/U6)</f>
        <v>-7.5137219953886813E-3</v>
      </c>
      <c r="W8" s="278"/>
      <c r="X8" s="278">
        <f ca="1">IF(W6=0,0,X7/W6)</f>
        <v>-8.3545674296517641E-3</v>
      </c>
      <c r="Y8" s="278"/>
      <c r="Z8" s="278">
        <f ca="1">IF(Y6=0,0,Z7/Y6)</f>
        <v>0.20599348728048641</v>
      </c>
      <c r="AA8" s="278"/>
      <c r="AB8" s="278">
        <f ca="1">IF(AA6=0,0,AB7/AA6)</f>
        <v>0.15357952022843405</v>
      </c>
      <c r="AC8" s="278"/>
      <c r="AD8" s="278">
        <f ca="1">IF(AC6=0,0,AD7/AC6)</f>
        <v>8.6929336384078126E-2</v>
      </c>
      <c r="AE8" s="278"/>
      <c r="AF8" s="278">
        <f ca="1">IF(AE6=0,0,AF7/AE6)</f>
        <v>0.46839417962282182</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'Расчет базового уровня'!D9</f>
        <v>2233204.23</v>
      </c>
      <c r="D9" s="273">
        <f ca="1">D12+D15</f>
        <v>1995766.1437859091</v>
      </c>
      <c r="E9" s="50"/>
      <c r="F9" s="50"/>
      <c r="G9" s="279" t="s">
        <v>1165</v>
      </c>
      <c r="H9" s="272" t="s">
        <v>837</v>
      </c>
      <c r="I9" s="274">
        <f>'Расчет базового уровня'!J9</f>
        <v>313370.34999999998</v>
      </c>
      <c r="J9" s="274">
        <f ca="1">J12+J15</f>
        <v>313190.2582907608</v>
      </c>
      <c r="K9" s="274">
        <f>'Расчет базового уровня'!M9</f>
        <v>284679.14</v>
      </c>
      <c r="L9" s="274">
        <f ca="1">L12+L15</f>
        <v>284613.81148113188</v>
      </c>
      <c r="M9" s="274">
        <f>'Расчет базового уровня'!P9</f>
        <v>306973.84999999998</v>
      </c>
      <c r="N9" s="274">
        <f ca="1">N12+N15</f>
        <v>302851.47668647359</v>
      </c>
      <c r="O9" s="274">
        <f>'Расчет базового уровня'!S9</f>
        <v>225191.69000000003</v>
      </c>
      <c r="P9" s="274">
        <f ca="1">P12+P15</f>
        <v>193553.00125211332</v>
      </c>
      <c r="Q9" s="274">
        <f>'Расчет базового уровня'!V9</f>
        <v>123894.39000000001</v>
      </c>
      <c r="R9" s="274">
        <f ca="1">R12+R15</f>
        <v>103919.0549355136</v>
      </c>
      <c r="S9" s="274">
        <f>'Расчет базового уровня'!Y9</f>
        <v>44542.899999999994</v>
      </c>
      <c r="T9" s="274">
        <f ca="1">T12+T15</f>
        <v>44542.899999999994</v>
      </c>
      <c r="U9" s="274">
        <f>'Расчет базового уровня'!AB9</f>
        <v>33238.54</v>
      </c>
      <c r="V9" s="274">
        <f ca="1">V12+V15</f>
        <v>33238.54</v>
      </c>
      <c r="W9" s="274">
        <f>'Расчет базового уровня'!AE9</f>
        <v>31226.550000000003</v>
      </c>
      <c r="X9" s="274">
        <f ca="1">X12+X15</f>
        <v>31226.55</v>
      </c>
      <c r="Y9" s="274">
        <f>'Расчет базового уровня'!AH9</f>
        <v>121103.19</v>
      </c>
      <c r="Z9" s="274">
        <f ca="1">Z12+Z15</f>
        <v>95609.04494974183</v>
      </c>
      <c r="AA9" s="274">
        <f>'Расчет базового уровня'!AK9</f>
        <v>226494.25000000003</v>
      </c>
      <c r="AB9" s="274">
        <f ca="1">AB12+AB15</f>
        <v>191094.78994479578</v>
      </c>
      <c r="AC9" s="274">
        <f>'Расчет базового уровня'!AN9</f>
        <v>239705.93</v>
      </c>
      <c r="AD9" s="274">
        <f ca="1">AD12+AD15</f>
        <v>218436.00403435802</v>
      </c>
      <c r="AE9" s="274">
        <f>'Расчет базового уровня'!AQ9</f>
        <v>282783.45</v>
      </c>
      <c r="AF9" s="274">
        <f ca="1">AF12+AF15</f>
        <v>149496.66846190498</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237438.08621409093</v>
      </c>
      <c r="E10" s="50"/>
      <c r="F10" s="50"/>
      <c r="G10" s="275" t="s">
        <v>1302</v>
      </c>
      <c r="H10" s="272" t="s">
        <v>837</v>
      </c>
      <c r="I10" s="276"/>
      <c r="J10" s="276">
        <f ca="1">I9-J9</f>
        <v>180.09170923917554</v>
      </c>
      <c r="K10" s="276"/>
      <c r="L10" s="276">
        <f ca="1">K9-L9</f>
        <v>65.32851886813296</v>
      </c>
      <c r="M10" s="276"/>
      <c r="N10" s="276">
        <f ca="1">M9-N9</f>
        <v>4122.3733135263901</v>
      </c>
      <c r="O10" s="276"/>
      <c r="P10" s="276">
        <f ca="1">O9-P9</f>
        <v>31638.688747886714</v>
      </c>
      <c r="Q10" s="276"/>
      <c r="R10" s="276">
        <f ca="1">Q9-R9</f>
        <v>19975.335064486411</v>
      </c>
      <c r="S10" s="276"/>
      <c r="T10" s="276">
        <f ca="1">S9-T9</f>
        <v>0</v>
      </c>
      <c r="U10" s="276"/>
      <c r="V10" s="276">
        <f ca="1">U9-V9</f>
        <v>0</v>
      </c>
      <c r="W10" s="276"/>
      <c r="X10" s="276">
        <f ca="1">W9-X9</f>
        <v>0</v>
      </c>
      <c r="Y10" s="276"/>
      <c r="Z10" s="276">
        <f ca="1">Y9-Z9</f>
        <v>25494.145050258172</v>
      </c>
      <c r="AA10" s="276"/>
      <c r="AB10" s="276">
        <f ca="1">AA9-AB9</f>
        <v>35399.460055204254</v>
      </c>
      <c r="AC10" s="276"/>
      <c r="AD10" s="276">
        <f ca="1">AC9-AD9</f>
        <v>21269.925965641974</v>
      </c>
      <c r="AE10" s="276"/>
      <c r="AF10" s="276">
        <f ca="1">AE9-AF9</f>
        <v>133286.78153809503</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0.10632170717950455</v>
      </c>
      <c r="E11" s="50"/>
      <c r="F11" s="50"/>
      <c r="G11" s="275" t="s">
        <v>868</v>
      </c>
      <c r="H11" s="277" t="s">
        <v>1164</v>
      </c>
      <c r="I11" s="278"/>
      <c r="J11" s="278">
        <f ca="1">IF(I9=0,0,J10/I9)</f>
        <v>5.7469288092882925E-4</v>
      </c>
      <c r="K11" s="278"/>
      <c r="L11" s="278">
        <f ca="1">IF(K9=0,0,L10/K9)</f>
        <v>2.2948122882531175E-4</v>
      </c>
      <c r="M11" s="278"/>
      <c r="N11" s="278">
        <f ca="1">IF(M9=0,0,N10/M9)</f>
        <v>1.3429069979499525E-2</v>
      </c>
      <c r="O11" s="278"/>
      <c r="P11" s="278">
        <f ca="1">IF(O9=0,0,P10/O9)</f>
        <v>0.1404966974930856</v>
      </c>
      <c r="Q11" s="278"/>
      <c r="R11" s="278">
        <f ca="1">IF(Q9=0,0,R10/Q9)</f>
        <v>0.16122872927891577</v>
      </c>
      <c r="S11" s="278"/>
      <c r="T11" s="278">
        <f ca="1">IF(S9=0,0,T10/S9)</f>
        <v>0</v>
      </c>
      <c r="U11" s="278"/>
      <c r="V11" s="278">
        <f ca="1">IF(U9=0,0,V10/U9)</f>
        <v>0</v>
      </c>
      <c r="W11" s="278"/>
      <c r="X11" s="278">
        <f ca="1">IF(W9=0,0,X10/W9)</f>
        <v>0</v>
      </c>
      <c r="Y11" s="278"/>
      <c r="Z11" s="278">
        <f ca="1">IF(Y9=0,0,Z10/Y9)</f>
        <v>0.21051588360519793</v>
      </c>
      <c r="AA11" s="278"/>
      <c r="AB11" s="278">
        <f ca="1">IF(AA9=0,0,AB10/AA9)</f>
        <v>0.15629297456868882</v>
      </c>
      <c r="AC11" s="278"/>
      <c r="AD11" s="278">
        <f ca="1">IF(AC9=0,0,AD10/AC9)</f>
        <v>8.8733415838489996E-2</v>
      </c>
      <c r="AE11" s="278"/>
      <c r="AF11" s="278">
        <f ca="1">IF(AE9=0,0,AF10/AE9)</f>
        <v>0.47133869233894354</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1483592.58</v>
      </c>
      <c r="D12" s="273">
        <f ca="1">D35</f>
        <v>1246154.4937859091</v>
      </c>
      <c r="E12" s="50"/>
      <c r="F12" s="50"/>
      <c r="G12" s="280" t="s">
        <v>1168</v>
      </c>
      <c r="H12" s="272" t="s">
        <v>837</v>
      </c>
      <c r="I12" s="274">
        <f>'Расчет базового уровня'!J12</f>
        <v>241857.48</v>
      </c>
      <c r="J12" s="274">
        <f ca="1">J35</f>
        <v>241677.38829076083</v>
      </c>
      <c r="K12" s="274">
        <f>'Расчет базового уровня'!M12</f>
        <v>220214.05</v>
      </c>
      <c r="L12" s="274">
        <f ca="1">L35</f>
        <v>220148.72148113191</v>
      </c>
      <c r="M12" s="274">
        <f>'Расчет базового уровня'!P12</f>
        <v>225284.73</v>
      </c>
      <c r="N12" s="274">
        <f ca="1">N35</f>
        <v>221162.35668647362</v>
      </c>
      <c r="O12" s="274">
        <f>'Расчет базового уровня'!S12</f>
        <v>151899.43000000002</v>
      </c>
      <c r="P12" s="274">
        <f ca="1">P35</f>
        <v>120260.74125211331</v>
      </c>
      <c r="Q12" s="274">
        <f>'Расчет базового уровня'!V12</f>
        <v>50974.29</v>
      </c>
      <c r="R12" s="274">
        <f ca="1">R35</f>
        <v>30998.954935513597</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50450.94</v>
      </c>
      <c r="Z12" s="274">
        <f ca="1">Z35</f>
        <v>24956.794949741827</v>
      </c>
      <c r="AA12" s="274">
        <f>'Расчет базового уровня'!AK12</f>
        <v>157063.15000000002</v>
      </c>
      <c r="AB12" s="274">
        <f ca="1">AB35</f>
        <v>121663.68994479577</v>
      </c>
      <c r="AC12" s="274">
        <f>'Расчет базового уровня'!AN12</f>
        <v>172647.34999999998</v>
      </c>
      <c r="AD12" s="274">
        <f ca="1">AD35</f>
        <v>151377.424034358</v>
      </c>
      <c r="AE12" s="274">
        <f>'Расчет базового уровня'!AQ12</f>
        <v>213201.16</v>
      </c>
      <c r="AF12" s="274">
        <f ca="1">AF35</f>
        <v>79914.378461904998</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237438.08621409093</v>
      </c>
      <c r="E13" s="50"/>
      <c r="F13" s="50"/>
      <c r="G13" s="275" t="s">
        <v>1302</v>
      </c>
      <c r="H13" s="272" t="s">
        <v>837</v>
      </c>
      <c r="I13" s="276"/>
      <c r="J13" s="276">
        <f ca="1">I12-J12</f>
        <v>180.09170923917554</v>
      </c>
      <c r="K13" s="276"/>
      <c r="L13" s="276">
        <f ca="1">K12-L12</f>
        <v>65.328518868074752</v>
      </c>
      <c r="M13" s="276"/>
      <c r="N13" s="276">
        <f ca="1">M12-N12</f>
        <v>4122.3733135263901</v>
      </c>
      <c r="O13" s="276"/>
      <c r="P13" s="276">
        <f ca="1">O12-P12</f>
        <v>31638.688747886714</v>
      </c>
      <c r="Q13" s="276"/>
      <c r="R13" s="276">
        <f ca="1">Q12-R12</f>
        <v>19975.335064486404</v>
      </c>
      <c r="S13" s="276"/>
      <c r="T13" s="276">
        <f ca="1">S12-T12</f>
        <v>0</v>
      </c>
      <c r="U13" s="276"/>
      <c r="V13" s="276">
        <f ca="1">U12-V12</f>
        <v>0</v>
      </c>
      <c r="W13" s="276"/>
      <c r="X13" s="276">
        <f ca="1">W12-X12</f>
        <v>0</v>
      </c>
      <c r="Y13" s="276"/>
      <c r="Z13" s="276">
        <f ca="1">Y12-Z12</f>
        <v>25494.145050258176</v>
      </c>
      <c r="AA13" s="276"/>
      <c r="AB13" s="276">
        <f ca="1">AA12-AB12</f>
        <v>35399.460055204254</v>
      </c>
      <c r="AC13" s="276"/>
      <c r="AD13" s="276">
        <f ca="1">AC12-AD12</f>
        <v>21269.925965641974</v>
      </c>
      <c r="AE13" s="276"/>
      <c r="AF13" s="276">
        <f ca="1">AE12-AF12</f>
        <v>133286.78153809501</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0.16004264878036187</v>
      </c>
      <c r="E14" s="50"/>
      <c r="F14" s="50"/>
      <c r="G14" s="275" t="s">
        <v>868</v>
      </c>
      <c r="H14" s="277" t="s">
        <v>1164</v>
      </c>
      <c r="I14" s="278"/>
      <c r="J14" s="278">
        <f ca="1">IF(I12=0,0,J13/I12)</f>
        <v>7.446191419805397E-4</v>
      </c>
      <c r="K14" s="278"/>
      <c r="L14" s="278">
        <f ca="1">IF(K12=0,0,L13/K12)</f>
        <v>2.9665917714185246E-4</v>
      </c>
      <c r="M14" s="278"/>
      <c r="N14" s="278">
        <f ca="1">IF(M12=0,0,N13/M12)</f>
        <v>1.8298503025599603E-2</v>
      </c>
      <c r="O14" s="278"/>
      <c r="P14" s="278">
        <f ca="1">IF(O12=0,0,P13/O12)</f>
        <v>0.20828708012852129</v>
      </c>
      <c r="Q14" s="278"/>
      <c r="R14" s="278">
        <f ca="1">IF(Q12=0,0,R13/Q12)</f>
        <v>0.3918707855369129</v>
      </c>
      <c r="S14" s="278"/>
      <c r="T14" s="278">
        <f>IF(S12=0,0,T13/S12)</f>
        <v>0</v>
      </c>
      <c r="U14" s="278"/>
      <c r="V14" s="278">
        <f>IF(U12=0,0,V13/U12)</f>
        <v>0</v>
      </c>
      <c r="W14" s="278"/>
      <c r="X14" s="278">
        <f>IF(W12=0,0,X13/W12)</f>
        <v>0</v>
      </c>
      <c r="Y14" s="278"/>
      <c r="Z14" s="278">
        <f ca="1">IF(Y12=0,0,Z13/Y12)</f>
        <v>0.50532547164152297</v>
      </c>
      <c r="AA14" s="278"/>
      <c r="AB14" s="278">
        <f ca="1">IF(AA12=0,0,AB13/AA12)</f>
        <v>0.22538361197521029</v>
      </c>
      <c r="AC14" s="278"/>
      <c r="AD14" s="278">
        <f ca="1">IF(AC12=0,0,AD13/AC12)</f>
        <v>0.12319868197016622</v>
      </c>
      <c r="AE14" s="278"/>
      <c r="AF14" s="278">
        <f ca="1">IF(AE12=0,0,AF13/AE12)</f>
        <v>0.62516911980260803</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'Расчет базового уровня'!D15</f>
        <v>749611.64999999991</v>
      </c>
      <c r="D15" s="274">
        <f ca="1">D85</f>
        <v>749611.64999999991</v>
      </c>
      <c r="E15" s="50"/>
      <c r="F15" s="50"/>
      <c r="G15" s="280" t="s">
        <v>982</v>
      </c>
      <c r="H15" s="272" t="s">
        <v>837</v>
      </c>
      <c r="I15" s="274">
        <f>'Расчет базового уровня'!J15</f>
        <v>71512.87</v>
      </c>
      <c r="J15" s="274">
        <f ca="1">J85</f>
        <v>71512.87</v>
      </c>
      <c r="K15" s="274">
        <f>'Расчет базового уровня'!M15</f>
        <v>64465.09</v>
      </c>
      <c r="L15" s="274">
        <f ca="1">L85</f>
        <v>64465.089999999989</v>
      </c>
      <c r="M15" s="274">
        <f>'Расчет базового уровня'!P15</f>
        <v>81689.119999999995</v>
      </c>
      <c r="N15" s="274">
        <f ca="1">N85</f>
        <v>81689.119999999995</v>
      </c>
      <c r="O15" s="274">
        <f>'Расчет базового уровня'!S15</f>
        <v>73292.260000000009</v>
      </c>
      <c r="P15" s="274">
        <f ca="1">P85</f>
        <v>73292.260000000009</v>
      </c>
      <c r="Q15" s="274">
        <f>'Расчет базового уровня'!V15</f>
        <v>72920.100000000006</v>
      </c>
      <c r="R15" s="274">
        <f ca="1">R85</f>
        <v>72920.100000000006</v>
      </c>
      <c r="S15" s="274">
        <f>'Расчет базового уровня'!Y15</f>
        <v>44542.899999999994</v>
      </c>
      <c r="T15" s="274">
        <f ca="1">T85</f>
        <v>44542.899999999994</v>
      </c>
      <c r="U15" s="274">
        <f>'Расчет базового уровня'!AB15</f>
        <v>33238.54</v>
      </c>
      <c r="V15" s="274">
        <f ca="1">V85</f>
        <v>33238.54</v>
      </c>
      <c r="W15" s="274">
        <f>'Расчет базового уровня'!AE15</f>
        <v>31226.550000000003</v>
      </c>
      <c r="X15" s="274">
        <f ca="1">X85</f>
        <v>31226.55</v>
      </c>
      <c r="Y15" s="274">
        <f>'Расчет базового уровня'!AH15</f>
        <v>70652.25</v>
      </c>
      <c r="Z15" s="274">
        <f ca="1">Z85</f>
        <v>70652.25</v>
      </c>
      <c r="AA15" s="274">
        <f>'Расчет базового уровня'!AK15</f>
        <v>69431.100000000006</v>
      </c>
      <c r="AB15" s="274">
        <f ca="1">AB85</f>
        <v>69431.100000000006</v>
      </c>
      <c r="AC15" s="274">
        <f>'Расчет базового уровня'!AN15</f>
        <v>67058.58</v>
      </c>
      <c r="AD15" s="274">
        <f ca="1">AD85</f>
        <v>67058.58</v>
      </c>
      <c r="AE15" s="274">
        <f>'Расчет базового уровня'!AQ15</f>
        <v>69582.289999999994</v>
      </c>
      <c r="AF15" s="274">
        <f ca="1">AF85</f>
        <v>69582.289999999994</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0</v>
      </c>
      <c r="E16" s="50"/>
      <c r="F16" s="50"/>
      <c r="G16" s="275" t="s">
        <v>1302</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0</v>
      </c>
      <c r="E17" s="50"/>
      <c r="F17" s="50"/>
      <c r="G17" s="275" t="s">
        <v>868</v>
      </c>
      <c r="H17" s="277" t="s">
        <v>1164</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16816</v>
      </c>
      <c r="D18" s="273">
        <f ca="1">D100</f>
        <v>18476.182966415188</v>
      </c>
      <c r="E18" s="50"/>
      <c r="F18" s="50"/>
      <c r="G18" s="271" t="s">
        <v>1171</v>
      </c>
      <c r="H18" s="272" t="s">
        <v>837</v>
      </c>
      <c r="I18" s="274">
        <f>'Расчет базового уровня'!J18</f>
        <v>2111.9999999999995</v>
      </c>
      <c r="J18" s="274">
        <f ca="1">J100</f>
        <v>1723.3068008358</v>
      </c>
      <c r="K18" s="274">
        <f>'Расчет базового уровня'!M18</f>
        <v>2001.9999999999998</v>
      </c>
      <c r="L18" s="274">
        <f ca="1">L100</f>
        <v>1694.6253443188086</v>
      </c>
      <c r="M18" s="274">
        <f>'Расчет базового уровня'!P18</f>
        <v>1666.9999999999998</v>
      </c>
      <c r="N18" s="274">
        <f ca="1">N100</f>
        <v>1695.9757546495171</v>
      </c>
      <c r="O18" s="274">
        <f>'Расчет базового уровня'!S18</f>
        <v>1432</v>
      </c>
      <c r="P18" s="274">
        <f ca="1">P100</f>
        <v>1561.5500922912508</v>
      </c>
      <c r="Q18" s="274">
        <f>'Расчет базового уровня'!V18</f>
        <v>1274</v>
      </c>
      <c r="R18" s="274">
        <f ca="1">R100</f>
        <v>1442.6315328882379</v>
      </c>
      <c r="S18" s="274">
        <f>'Расчет базового уровня'!Y18</f>
        <v>1265</v>
      </c>
      <c r="T18" s="274">
        <f ca="1">T100</f>
        <v>1401.3333333333333</v>
      </c>
      <c r="U18" s="274">
        <f>'Расчет базового уровня'!AB18</f>
        <v>1142.9999999999998</v>
      </c>
      <c r="V18" s="274">
        <f ca="1">V100</f>
        <v>1401.3333333333333</v>
      </c>
      <c r="W18" s="274">
        <f>'Расчет базового уровня'!AE18</f>
        <v>1130.9999999999998</v>
      </c>
      <c r="X18" s="274">
        <f ca="1">X100</f>
        <v>1401.3333333333333</v>
      </c>
      <c r="Y18" s="274">
        <f>'Расчет базового уровня'!AH18</f>
        <v>1117</v>
      </c>
      <c r="Z18" s="274">
        <f ca="1">Z100</f>
        <v>1434.5818960745403</v>
      </c>
      <c r="AA18" s="274">
        <f>'Расчет базового уровня'!AK18</f>
        <v>1121</v>
      </c>
      <c r="AB18" s="274">
        <f ca="1">AB100</f>
        <v>1563.4191635291754</v>
      </c>
      <c r="AC18" s="274">
        <f>'Расчет базового уровня'!AN18</f>
        <v>1282</v>
      </c>
      <c r="AD18" s="274">
        <f ca="1">AD100</f>
        <v>1603.0051341693106</v>
      </c>
      <c r="AE18" s="274">
        <f>'Расчет базового уровня'!AQ18</f>
        <v>1269.9999999999998</v>
      </c>
      <c r="AF18" s="274">
        <f ca="1">AF100</f>
        <v>1507.7988563127856</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-1660.1829664151883</v>
      </c>
      <c r="E19" s="50"/>
      <c r="F19" s="50"/>
      <c r="G19" s="275" t="s">
        <v>1302</v>
      </c>
      <c r="H19" s="272" t="s">
        <v>837</v>
      </c>
      <c r="I19" s="276"/>
      <c r="J19" s="276">
        <f ca="1">I18-J18</f>
        <v>388.69319916419954</v>
      </c>
      <c r="K19" s="276"/>
      <c r="L19" s="276">
        <f ca="1">K18-L18</f>
        <v>307.37465568119114</v>
      </c>
      <c r="M19" s="276"/>
      <c r="N19" s="276">
        <f ca="1">M18-N18</f>
        <v>-28.975754649517285</v>
      </c>
      <c r="O19" s="276"/>
      <c r="P19" s="276">
        <f ca="1">O18-P18</f>
        <v>-129.55009229125085</v>
      </c>
      <c r="Q19" s="276"/>
      <c r="R19" s="276">
        <f ca="1">Q18-R18</f>
        <v>-168.63153288823787</v>
      </c>
      <c r="S19" s="276"/>
      <c r="T19" s="276">
        <f ca="1">S18-T18</f>
        <v>-136.33333333333326</v>
      </c>
      <c r="U19" s="276"/>
      <c r="V19" s="276">
        <f ca="1">U18-V18</f>
        <v>-258.33333333333348</v>
      </c>
      <c r="W19" s="276"/>
      <c r="X19" s="276">
        <f ca="1">W18-X18</f>
        <v>-270.33333333333348</v>
      </c>
      <c r="Y19" s="276"/>
      <c r="Z19" s="276">
        <f ca="1">Y18-Z18</f>
        <v>-317.58189607454028</v>
      </c>
      <c r="AA19" s="276"/>
      <c r="AB19" s="276">
        <f ca="1">AA18-AB18</f>
        <v>-442.41916352917542</v>
      </c>
      <c r="AC19" s="276"/>
      <c r="AD19" s="276">
        <f ca="1">AC18-AD18</f>
        <v>-321.00513416931062</v>
      </c>
      <c r="AE19" s="276"/>
      <c r="AF19" s="276">
        <f ca="1">AE18-AF18</f>
        <v>-237.7988563127858</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-9.8726389534680561E-2</v>
      </c>
      <c r="E20" s="50"/>
      <c r="F20" s="50"/>
      <c r="G20" s="275" t="s">
        <v>868</v>
      </c>
      <c r="H20" s="277" t="s">
        <v>1164</v>
      </c>
      <c r="I20" s="278"/>
      <c r="J20" s="278">
        <f ca="1">IF(I18=0,0,J19/I18)</f>
        <v>0.18404034051335211</v>
      </c>
      <c r="K20" s="278"/>
      <c r="L20" s="278">
        <f ca="1">IF(K18=0,0,L19/K18)</f>
        <v>0.15353379404654904</v>
      </c>
      <c r="M20" s="278"/>
      <c r="N20" s="278">
        <f ca="1">IF(M18=0,0,N19/M18)</f>
        <v>-1.7381976394431488E-2</v>
      </c>
      <c r="O20" s="278"/>
      <c r="P20" s="278">
        <f ca="1">IF(O18=0,0,P19/O18)</f>
        <v>-9.0467941544169581E-2</v>
      </c>
      <c r="Q20" s="278"/>
      <c r="R20" s="278">
        <f ca="1">IF(Q18=0,0,R19/Q18)</f>
        <v>-0.13236384057161529</v>
      </c>
      <c r="S20" s="278"/>
      <c r="T20" s="278">
        <f ca="1">IF(S18=0,0,T19/S18)</f>
        <v>-0.10777338603425554</v>
      </c>
      <c r="U20" s="278"/>
      <c r="V20" s="278">
        <f ca="1">IF(U18=0,0,V19/U18)</f>
        <v>-0.22601341498979313</v>
      </c>
      <c r="W20" s="278"/>
      <c r="X20" s="278">
        <f ca="1">IF(W18=0,0,X19/W18)</f>
        <v>-0.23902151488358403</v>
      </c>
      <c r="Y20" s="278"/>
      <c r="Z20" s="278">
        <f ca="1">IF(Y18=0,0,Z19/Y18)</f>
        <v>-0.28431682728248908</v>
      </c>
      <c r="AA20" s="278"/>
      <c r="AB20" s="278">
        <f ca="1">IF(AA18=0,0,AB19/AA18)</f>
        <v>-0.39466473106973721</v>
      </c>
      <c r="AC20" s="278"/>
      <c r="AD20" s="278">
        <f ca="1">IF(AC18=0,0,AD19/AC18)</f>
        <v>-0.25039402041287878</v>
      </c>
      <c r="AE20" s="278"/>
      <c r="AF20" s="278">
        <f ca="1">IF(AE18=0,0,AF19/AE18)</f>
        <v>-0.18724319394707548</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'Расчет базового уровня'!D23</f>
        <v>297.38177264376628</v>
      </c>
      <c r="D23" s="273">
        <f ca="1">D6/('Ввод исходных данных'!$G$56+'Ввод исходных данных'!$D$23)</f>
        <v>266.21936357599344</v>
      </c>
      <c r="E23" s="50"/>
      <c r="F23" s="50"/>
      <c r="G23" s="283" t="s">
        <v>1172</v>
      </c>
      <c r="H23" s="272" t="s">
        <v>1173</v>
      </c>
      <c r="I23" s="274">
        <f>'Расчет базового уровня'!J23</f>
        <v>0</v>
      </c>
      <c r="J23" s="274">
        <f ca="1">J6/'Ввод исходных данных'!$G$55</f>
        <v>36.17575502769602</v>
      </c>
      <c r="K23" s="274">
        <f>'Расчет базового уровня'!M23</f>
        <v>0</v>
      </c>
      <c r="L23" s="274">
        <f ca="1">L6/'Ввод исходных данных'!$G$55</f>
        <v>32.889735537265587</v>
      </c>
      <c r="M23" s="274">
        <f>'Расчет базового уровня'!P23</f>
        <v>0</v>
      </c>
      <c r="N23" s="274">
        <f ca="1">N6/'Ввод исходных данных'!$G$55</f>
        <v>34.984945887022903</v>
      </c>
      <c r="O23" s="274">
        <f>'Расчет базового уровня'!S23</f>
        <v>0</v>
      </c>
      <c r="P23" s="274">
        <f ca="1">P6/'Ввод исходных данных'!$G$55</f>
        <v>22.413820788320017</v>
      </c>
      <c r="Q23" s="274">
        <f>'Расчет базового уровня'!V23</f>
        <v>0</v>
      </c>
      <c r="R23" s="274">
        <f ca="1">R6/'Ввод исходных данных'!$G$55</f>
        <v>12.103443552446478</v>
      </c>
      <c r="S23" s="274">
        <f>'Расчет базового уровня'!Y23</f>
        <v>0</v>
      </c>
      <c r="T23" s="274">
        <f ca="1">T6/'Ввод исходных данных'!$G$55</f>
        <v>5.2778524466500478</v>
      </c>
      <c r="U23" s="274">
        <f>'Расчет базового уровня'!AB23</f>
        <v>0</v>
      </c>
      <c r="V23" s="274">
        <f ca="1">V6/'Ввод исходных данных'!$G$55</f>
        <v>3.9792619652081349</v>
      </c>
      <c r="W23" s="274">
        <f>'Расчет базового уровня'!AE23</f>
        <v>0</v>
      </c>
      <c r="X23" s="274">
        <f ca="1">X6/'Ввод исходных данных'!$G$55</f>
        <v>3.7481342354864768</v>
      </c>
      <c r="Y23" s="274">
        <f>'Расчет базового уровня'!AH23</f>
        <v>0</v>
      </c>
      <c r="Z23" s="274">
        <f ca="1">Z6/'Ввод исходных данных'!$G$55</f>
        <v>11.14790488860741</v>
      </c>
      <c r="AA23" s="274">
        <f>'Расчет базового уровня'!AK23</f>
        <v>0</v>
      </c>
      <c r="AB23" s="274">
        <f ca="1">AB6/'Ввод исходных данных'!$G$55</f>
        <v>22.131648011892448</v>
      </c>
      <c r="AC23" s="274">
        <f>'Расчет базового уровня'!AN23</f>
        <v>0</v>
      </c>
      <c r="AD23" s="274">
        <f ca="1">AD6/'Ввод исходных данных'!$G$55</f>
        <v>25.277022569359033</v>
      </c>
      <c r="AE23" s="274">
        <f>'Расчет базового уровня'!AQ23</f>
        <v>0</v>
      </c>
      <c r="AF23" s="274">
        <f ca="1">AF6/'Ввод исходных данных'!$G$55</f>
        <v>17.346666588346803</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31162.409067772809</v>
      </c>
      <c r="E24" s="50"/>
      <c r="F24" s="50"/>
      <c r="G24" s="275" t="s">
        <v>868</v>
      </c>
      <c r="H24" s="277" t="s">
        <v>1174</v>
      </c>
      <c r="I24" s="71"/>
      <c r="J24" s="261">
        <f ca="1">0.123*J23</f>
        <v>4.4496178684066106</v>
      </c>
      <c r="K24" s="71"/>
      <c r="L24" s="261">
        <f ca="1">0.123*L23</f>
        <v>4.0454374710836669</v>
      </c>
      <c r="M24" s="71"/>
      <c r="N24" s="261">
        <f ca="1">0.123*N23</f>
        <v>4.3031483441038167</v>
      </c>
      <c r="O24" s="71"/>
      <c r="P24" s="261">
        <f ca="1">0.123*P23</f>
        <v>2.7568999569633621</v>
      </c>
      <c r="Q24" s="71"/>
      <c r="R24" s="261">
        <f ca="1">0.123*R23</f>
        <v>1.4887235569509167</v>
      </c>
      <c r="S24" s="71"/>
      <c r="T24" s="261">
        <f ca="1">0.123*T23</f>
        <v>0.64917585093795582</v>
      </c>
      <c r="U24" s="71"/>
      <c r="V24" s="261">
        <f ca="1">0.123*V23</f>
        <v>0.48944922172060057</v>
      </c>
      <c r="W24" s="71"/>
      <c r="X24" s="261">
        <f ca="1">0.123*X23</f>
        <v>0.46102051096483665</v>
      </c>
      <c r="Y24" s="71"/>
      <c r="Z24" s="261">
        <f ca="1">0.123*Z23</f>
        <v>1.3711923012987115</v>
      </c>
      <c r="AA24" s="71"/>
      <c r="AB24" s="261">
        <f ca="1">0.123*AB23</f>
        <v>2.722192705462771</v>
      </c>
      <c r="AC24" s="71"/>
      <c r="AD24" s="261">
        <f ca="1">0.123*AD23</f>
        <v>3.1090737760311611</v>
      </c>
      <c r="AE24" s="71"/>
      <c r="AF24" s="261">
        <f ca="1">0.123*AF23</f>
        <v>2.1336399903666567</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1246154.4937859091</v>
      </c>
      <c r="C27" s="285">
        <f ca="1">D18</f>
        <v>18476.182966415188</v>
      </c>
      <c r="D27" s="285">
        <f ca="1">D15</f>
        <v>749611.64999999991</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1483592.58</v>
      </c>
      <c r="C28" s="285">
        <f>C18</f>
        <v>16816</v>
      </c>
      <c r="D28" s="285">
        <f>C15</f>
        <v>749611.64999999991</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72" t="s">
        <v>1175</v>
      </c>
      <c r="B32" s="2472"/>
      <c r="C32" s="2472"/>
      <c r="D32" s="2472"/>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81" t="s">
        <v>829</v>
      </c>
      <c r="B33" s="2458" t="s">
        <v>1157</v>
      </c>
      <c r="C33" s="2462" t="s">
        <v>1301</v>
      </c>
      <c r="D33" s="2460" t="s">
        <v>1300</v>
      </c>
      <c r="E33" s="50"/>
      <c r="F33" s="50"/>
      <c r="G33" s="2497" t="s">
        <v>829</v>
      </c>
      <c r="H33" s="2479" t="s">
        <v>1157</v>
      </c>
      <c r="I33" s="2489" t="s">
        <v>488</v>
      </c>
      <c r="J33" s="2490"/>
      <c r="K33" s="2489" t="s">
        <v>489</v>
      </c>
      <c r="L33" s="2490"/>
      <c r="M33" s="2489" t="s">
        <v>490</v>
      </c>
      <c r="N33" s="2490"/>
      <c r="O33" s="2489" t="s">
        <v>491</v>
      </c>
      <c r="P33" s="2490"/>
      <c r="Q33" s="2489" t="s">
        <v>800</v>
      </c>
      <c r="R33" s="2490"/>
      <c r="S33" s="2489" t="s">
        <v>801</v>
      </c>
      <c r="T33" s="2490"/>
      <c r="U33" s="2489" t="s">
        <v>802</v>
      </c>
      <c r="V33" s="2490"/>
      <c r="W33" s="2489" t="s">
        <v>803</v>
      </c>
      <c r="X33" s="2490"/>
      <c r="Y33" s="2489" t="s">
        <v>804</v>
      </c>
      <c r="Z33" s="2490"/>
      <c r="AA33" s="2489" t="s">
        <v>482</v>
      </c>
      <c r="AB33" s="2490"/>
      <c r="AC33" s="2489" t="s">
        <v>486</v>
      </c>
      <c r="AD33" s="2490"/>
      <c r="AE33" s="2489" t="s">
        <v>487</v>
      </c>
      <c r="AF33" s="249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82"/>
      <c r="B34" s="2459"/>
      <c r="C34" s="2496"/>
      <c r="D34" s="2495"/>
      <c r="E34" s="50"/>
      <c r="F34" s="50"/>
      <c r="G34" s="2498"/>
      <c r="H34" s="2480"/>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1483592.58</v>
      </c>
      <c r="D35" s="292">
        <f ca="1">D38+D62+D65+D68-D71</f>
        <v>1246154.4937859091</v>
      </c>
      <c r="E35" s="50"/>
      <c r="F35" s="50"/>
      <c r="G35" s="293" t="s">
        <v>1175</v>
      </c>
      <c r="H35" s="294" t="s">
        <v>837</v>
      </c>
      <c r="I35" s="291">
        <f>'Расчет базового уровня'!J35</f>
        <v>241857.48</v>
      </c>
      <c r="J35" s="295">
        <f ca="1">J38+J62+J65+J68-J71</f>
        <v>241677.38829076083</v>
      </c>
      <c r="K35" s="291">
        <f>'Расчет базового уровня'!M35</f>
        <v>220214.05</v>
      </c>
      <c r="L35" s="296">
        <f ca="1">L38+L62+L65+L68-L71</f>
        <v>220148.72148113191</v>
      </c>
      <c r="M35" s="291">
        <f>'Расчет базового уровня'!P35</f>
        <v>225284.73</v>
      </c>
      <c r="N35" s="295">
        <f ca="1">N38+N62+N65+N68-N71</f>
        <v>221162.35668647362</v>
      </c>
      <c r="O35" s="291">
        <f>'Расчет базового уровня'!S35</f>
        <v>151899.43000000002</v>
      </c>
      <c r="P35" s="296">
        <f ca="1">P38+P62+P65+P68-P71</f>
        <v>120260.74125211331</v>
      </c>
      <c r="Q35" s="291">
        <f>'Расчет базового уровня'!V35</f>
        <v>50974.29</v>
      </c>
      <c r="R35" s="295">
        <f ca="1">R38+R62+R65+R68-R71</f>
        <v>30998.954935513597</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50450.94</v>
      </c>
      <c r="Z35" s="295">
        <f ca="1">Z38+Z62+Z65+Z68-Z71</f>
        <v>24956.794949741827</v>
      </c>
      <c r="AA35" s="291">
        <f>'Расчет базового уровня'!AK35</f>
        <v>157063.15000000002</v>
      </c>
      <c r="AB35" s="295">
        <f ca="1">AB38+AB62+AB65+AB68-AB71</f>
        <v>121663.68994479577</v>
      </c>
      <c r="AC35" s="291">
        <f>'Расчет базового уровня'!AN35</f>
        <v>172647.34999999998</v>
      </c>
      <c r="AD35" s="295">
        <f ca="1">AD38+AD62+AD65+AD68-AD71</f>
        <v>151377.424034358</v>
      </c>
      <c r="AE35" s="291">
        <f>'Расчет базового уровня'!AQ35</f>
        <v>213201.16</v>
      </c>
      <c r="AF35" s="295">
        <f ca="1">AF38+AF62+AF65+AF68-AF71</f>
        <v>79914.378461904998</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237438.08621409093</v>
      </c>
      <c r="E36" s="50"/>
      <c r="F36" s="50"/>
      <c r="G36" s="275" t="s">
        <v>1302</v>
      </c>
      <c r="H36" s="272" t="s">
        <v>837</v>
      </c>
      <c r="I36" s="276"/>
      <c r="J36" s="276">
        <f ca="1">I35-J35</f>
        <v>180.09170923917554</v>
      </c>
      <c r="K36" s="276"/>
      <c r="L36" s="276">
        <f ca="1">K35-L35</f>
        <v>65.328518868074752</v>
      </c>
      <c r="M36" s="276"/>
      <c r="N36" s="276">
        <f ca="1">M35-N35</f>
        <v>4122.3733135263901</v>
      </c>
      <c r="O36" s="276"/>
      <c r="P36" s="276">
        <f ca="1">O35-P35</f>
        <v>31638.688747886714</v>
      </c>
      <c r="Q36" s="276"/>
      <c r="R36" s="276">
        <f ca="1">Q35-R35</f>
        <v>19975.335064486404</v>
      </c>
      <c r="S36" s="276"/>
      <c r="T36" s="276">
        <f ca="1">S35-T35</f>
        <v>0</v>
      </c>
      <c r="U36" s="276"/>
      <c r="V36" s="276">
        <f ca="1">U35-V35</f>
        <v>0</v>
      </c>
      <c r="W36" s="276"/>
      <c r="X36" s="276">
        <f ca="1">W35-X35</f>
        <v>0</v>
      </c>
      <c r="Y36" s="276"/>
      <c r="Z36" s="276">
        <f ca="1">Y35-Z35</f>
        <v>25494.145050258176</v>
      </c>
      <c r="AA36" s="276"/>
      <c r="AB36" s="276">
        <f ca="1">AA35-AB35</f>
        <v>35399.460055204254</v>
      </c>
      <c r="AC36" s="276"/>
      <c r="AD36" s="276">
        <f ca="1">AC35-AD35</f>
        <v>21269.925965641974</v>
      </c>
      <c r="AE36" s="276"/>
      <c r="AF36" s="276">
        <f ca="1">AE35-AF35</f>
        <v>133286.78153809501</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0.16004264878036187</v>
      </c>
      <c r="E37" s="50"/>
      <c r="F37" s="50"/>
      <c r="G37" s="275" t="s">
        <v>868</v>
      </c>
      <c r="H37" s="277" t="s">
        <v>1164</v>
      </c>
      <c r="I37" s="278"/>
      <c r="J37" s="278">
        <f ca="1">IF(I35=0,0,J36/I35)</f>
        <v>7.446191419805397E-4</v>
      </c>
      <c r="K37" s="278"/>
      <c r="L37" s="278">
        <f ca="1">IF(K35=0,0,L36/K35)</f>
        <v>2.9665917714185246E-4</v>
      </c>
      <c r="M37" s="278"/>
      <c r="N37" s="278">
        <f ca="1">IF(M35=0,0,N36/M35)</f>
        <v>1.8298503025599603E-2</v>
      </c>
      <c r="O37" s="278"/>
      <c r="P37" s="278">
        <f ca="1">IF(O35=0,0,P36/O35)</f>
        <v>0.20828708012852129</v>
      </c>
      <c r="Q37" s="278"/>
      <c r="R37" s="278">
        <f ca="1">IF(Q35=0,0,R36/Q35)</f>
        <v>0.3918707855369129</v>
      </c>
      <c r="S37" s="278"/>
      <c r="T37" s="278">
        <f>IF(S35=0,0,T36/S35)</f>
        <v>0</v>
      </c>
      <c r="U37" s="278"/>
      <c r="V37" s="278">
        <f>IF(U35=0,0,V36/U35)</f>
        <v>0</v>
      </c>
      <c r="W37" s="278"/>
      <c r="X37" s="278">
        <f>IF(W35=0,0,X36/W35)</f>
        <v>0</v>
      </c>
      <c r="Y37" s="278"/>
      <c r="Z37" s="278">
        <f ca="1">IF(Y35=0,0,Z36/Y35)</f>
        <v>0.50532547164152297</v>
      </c>
      <c r="AA37" s="278"/>
      <c r="AB37" s="278">
        <f ca="1">IF(AA35=0,0,AB36/AA35)</f>
        <v>0.22538361197521029</v>
      </c>
      <c r="AC37" s="278"/>
      <c r="AD37" s="278">
        <f ca="1">IF(AC35=0,0,AD36/AC35)</f>
        <v>0.12319868197016622</v>
      </c>
      <c r="AE37" s="278"/>
      <c r="AF37" s="278">
        <f ca="1">IF(AE35=0,0,AF36/AE35)</f>
        <v>0.62516911980260803</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1146061.6227392848</v>
      </c>
      <c r="D38" s="298">
        <f ca="1">D41+D44+D47+D50+D53+D56+D59</f>
        <v>986741.20957971399</v>
      </c>
      <c r="E38" s="50"/>
      <c r="F38" s="50"/>
      <c r="G38" s="293" t="s">
        <v>1179</v>
      </c>
      <c r="H38" s="299" t="s">
        <v>837</v>
      </c>
      <c r="I38" s="291">
        <f ca="1">'Расчет базового уровня'!J38</f>
        <v>185436.56113975268</v>
      </c>
      <c r="J38" s="298">
        <f ca="1">J41+J44+J47+J50+J53+J56+J59</f>
        <v>185436.56113975262</v>
      </c>
      <c r="K38" s="291">
        <f ca="1">'Расчет базового уровня'!M38</f>
        <v>168024.32697885891</v>
      </c>
      <c r="L38" s="298">
        <f ca="1">L41+L44+L47+L50+L53+L56+L59</f>
        <v>168024.32697885891</v>
      </c>
      <c r="M38" s="291">
        <f ca="1">'Расчет базового уровня'!P38</f>
        <v>170257.77653453438</v>
      </c>
      <c r="N38" s="298">
        <f ca="1">N41+N44+N47+N50+N53+N56+N59</f>
        <v>170257.77653453438</v>
      </c>
      <c r="O38" s="291">
        <f ca="1">'Расчет базового уровня'!S38</f>
        <v>118298.82468035018</v>
      </c>
      <c r="P38" s="298">
        <f ca="1">P41+P44+P47+P50+P53+P56+P59</f>
        <v>100248.9123006249</v>
      </c>
      <c r="Q38" s="291">
        <f ca="1">'Расчет базового уровня'!V38</f>
        <v>31389.271092638952</v>
      </c>
      <c r="R38" s="298">
        <f ca="1">R41+R44+R47+R50+R53+R56+R59</f>
        <v>31389.271092638955</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 ca="1">'Расчет базового уровня'!AH38</f>
        <v>32995.736649186249</v>
      </c>
      <c r="Z38" s="298">
        <f ca="1">Z41+Z44+Z47+Z50+Z53+Z56+Z59</f>
        <v>23045.726965660895</v>
      </c>
      <c r="AA38" s="291">
        <f ca="1">'Расчет базового уровня'!AK38</f>
        <v>123433.99248210291</v>
      </c>
      <c r="AB38" s="298">
        <f ca="1">AB41+AB44+AB47+AB50+AB53+AB56+AB59</f>
        <v>101804.49887080702</v>
      </c>
      <c r="AC38" s="291">
        <f ca="1">'Расчет базового уровня'!AN38</f>
        <v>137194.73085046126</v>
      </c>
      <c r="AD38" s="298">
        <f ca="1">AD41+AD44+AD47+AD50+AD53+AD56+AD59</f>
        <v>122718.49609214428</v>
      </c>
      <c r="AE38" s="291">
        <f ca="1">'Расчет базового уровня'!AQ38</f>
        <v>166207.7830427367</v>
      </c>
      <c r="AF38" s="298">
        <f ca="1">AF41+AF44+AF47+AF50+AF53+AF56+AF59</f>
        <v>75013.841273226222</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159320.41315957077</v>
      </c>
      <c r="E39" s="50"/>
      <c r="F39" s="50"/>
      <c r="G39" s="275" t="s">
        <v>1302</v>
      </c>
      <c r="H39" s="272" t="s">
        <v>837</v>
      </c>
      <c r="I39" s="276"/>
      <c r="J39" s="276">
        <f ca="1">I38-J38</f>
        <v>0</v>
      </c>
      <c r="K39" s="276"/>
      <c r="L39" s="276">
        <f ca="1">K38-L38</f>
        <v>0</v>
      </c>
      <c r="M39" s="276"/>
      <c r="N39" s="276">
        <f ca="1">M38-N38</f>
        <v>0</v>
      </c>
      <c r="O39" s="276"/>
      <c r="P39" s="276">
        <f ca="1">O38-P38</f>
        <v>18049.912379725283</v>
      </c>
      <c r="Q39" s="276"/>
      <c r="R39" s="276">
        <f ca="1">Q38-R38</f>
        <v>0</v>
      </c>
      <c r="S39" s="276"/>
      <c r="T39" s="276">
        <f ca="1">S38-T38</f>
        <v>0</v>
      </c>
      <c r="U39" s="276"/>
      <c r="V39" s="276">
        <f ca="1">U38-V38</f>
        <v>0</v>
      </c>
      <c r="W39" s="276"/>
      <c r="X39" s="276">
        <f ca="1">W38-X38</f>
        <v>0</v>
      </c>
      <c r="Y39" s="276"/>
      <c r="Z39" s="276">
        <f ca="1">Y38-Z38</f>
        <v>9950.0096835253535</v>
      </c>
      <c r="AA39" s="276"/>
      <c r="AB39" s="276">
        <f ca="1">AA38-AB38</f>
        <v>21629.493611295897</v>
      </c>
      <c r="AC39" s="276"/>
      <c r="AD39" s="276">
        <f ca="1">AC38-AD38</f>
        <v>14476.234758316976</v>
      </c>
      <c r="AE39" s="276"/>
      <c r="AF39" s="276">
        <f ca="1">AE38-AF38</f>
        <v>91193.941769510478</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0.13901557298356046</v>
      </c>
      <c r="E40" s="50"/>
      <c r="F40" s="50"/>
      <c r="G40" s="275" t="s">
        <v>868</v>
      </c>
      <c r="H40" s="277" t="s">
        <v>1164</v>
      </c>
      <c r="I40" s="278"/>
      <c r="J40" s="278">
        <f ca="1">IF(I38=0,0,J39/I38)</f>
        <v>0</v>
      </c>
      <c r="K40" s="278"/>
      <c r="L40" s="278">
        <f ca="1">IF(K38=0,0,L39/K38)</f>
        <v>0</v>
      </c>
      <c r="M40" s="278"/>
      <c r="N40" s="278">
        <f ca="1">IF(M38=0,0,N39/M38)</f>
        <v>0</v>
      </c>
      <c r="O40" s="278"/>
      <c r="P40" s="278">
        <f ca="1">IF(O38=0,0,P39/O38)</f>
        <v>0.15257896626189754</v>
      </c>
      <c r="Q40" s="278"/>
      <c r="R40" s="278">
        <f ca="1">IF(Q38=0,0,R39/Q38)</f>
        <v>0</v>
      </c>
      <c r="S40" s="278"/>
      <c r="T40" s="278">
        <f>IF(S38=0,0,T39/S38)</f>
        <v>0</v>
      </c>
      <c r="U40" s="278"/>
      <c r="V40" s="278">
        <f>IF(U38=0,0,V39/U38)</f>
        <v>0</v>
      </c>
      <c r="W40" s="278"/>
      <c r="X40" s="278">
        <f>IF(W38=0,0,X39/W38)</f>
        <v>0</v>
      </c>
      <c r="Y40" s="278"/>
      <c r="Z40" s="278">
        <f ca="1">IF(Y38=0,0,Z39/Y38)</f>
        <v>0.30155440350717988</v>
      </c>
      <c r="AA40" s="278"/>
      <c r="AB40" s="278">
        <f ca="1">IF(AA38=0,0,AB39/AA38)</f>
        <v>0.17523125661216885</v>
      </c>
      <c r="AC40" s="278"/>
      <c r="AD40" s="278">
        <f ca="1">IF(AC38=0,0,AD39/AC38)</f>
        <v>0.10551596747615402</v>
      </c>
      <c r="AE40" s="278"/>
      <c r="AF40" s="278">
        <f ca="1">IF(AE38=0,0,AF39/AE38)</f>
        <v>0.54867431656953125</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719731.54202542803</v>
      </c>
      <c r="D41" s="301">
        <f ca="1">IF(IF(C136=0,0,B136/C136*D136)*0.024*$D$149*(1-D165)&gt;C41,C41,IF(C136=0,0,B136/C136*D136)*0.024*$D$149*(1-D165))</f>
        <v>619677.64931642183</v>
      </c>
      <c r="E41" s="50"/>
      <c r="F41" s="50"/>
      <c r="G41" s="302" t="s">
        <v>1180</v>
      </c>
      <c r="H41" s="294" t="s">
        <v>837</v>
      </c>
      <c r="I41" s="291">
        <f ca="1">'Расчет базового уровня'!J41</f>
        <v>116454.94400030909</v>
      </c>
      <c r="J41" s="303">
        <f ca="1">IF($C136=0,0,MIN($B136/$C136*$D136*0.024*$G$149,I41))</f>
        <v>116454.94400030909</v>
      </c>
      <c r="K41" s="291">
        <f ca="1">'Расчет базового уровня'!M41</f>
        <v>105519.98736789526</v>
      </c>
      <c r="L41" s="303">
        <f ca="1">IF($C136=0,0,MIN($B136/$C136*$D136*0.024*$H$149,K41))</f>
        <v>105519.98736789526</v>
      </c>
      <c r="M41" s="291">
        <f ca="1">'Расчет базового уровня'!P41</f>
        <v>106922.60312681069</v>
      </c>
      <c r="N41" s="303">
        <f ca="1">IF($C136=0,0,MIN($B136/$C136*$D136*0.024*$I$149,M41))</f>
        <v>106922.60312681069</v>
      </c>
      <c r="O41" s="291">
        <f ca="1">'Расчет базового уровня'!S41</f>
        <v>74292.161797964087</v>
      </c>
      <c r="P41" s="303">
        <f ca="1">IF($C136=0,0,MIN($B136/$C136*$D136*0.024*$J$149,O41))</f>
        <v>62956.740549469083</v>
      </c>
      <c r="Q41" s="291">
        <f ca="1">'Расчет базового уровня'!V41</f>
        <v>19712.59488871185</v>
      </c>
      <c r="R41" s="303">
        <f ca="1">IF($C136=0,0,MIN($B136/$C136*$D136*0.024*$K$149,Q41))</f>
        <v>19712.59488871185</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 ca="1">'Расчет базового уровня'!AH41</f>
        <v>20721.462046710691</v>
      </c>
      <c r="Z41" s="303">
        <f ca="1">IF($C136=0,0,MIN($B136/$C136*$D136*0.024*$O$149,Y41))</f>
        <v>14472.81391941818</v>
      </c>
      <c r="AA41" s="291">
        <f ca="1">'Расчет базового уровня'!AK41</f>
        <v>77517.068877289261</v>
      </c>
      <c r="AB41" s="303">
        <f ca="1">IF($C136=0,0,MIN($B136/$C136*$D136*0.024*$P$149,AA41))</f>
        <v>63933.655489029814</v>
      </c>
      <c r="AC41" s="291">
        <f ca="1">'Расчет базового уровня'!AN41</f>
        <v>86158.870721761356</v>
      </c>
      <c r="AD41" s="303">
        <f ca="1">IF($C136=0,0,MIN($B136/$C136*$D136*0.024*$Q$149,AC41))</f>
        <v>77067.73412090182</v>
      </c>
      <c r="AE41" s="291">
        <f ca="1">'Расчет базового уровня'!AQ41</f>
        <v>104379.19009978921</v>
      </c>
      <c r="AF41" s="303">
        <f ca="1">IF($C136=0,0,MIN($B136/$C136*$D136*0.024*$R$149,AE41))</f>
        <v>47109.009307706176</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100053.89270900621</v>
      </c>
      <c r="E42" s="50"/>
      <c r="F42" s="50"/>
      <c r="G42" s="275" t="s">
        <v>1302</v>
      </c>
      <c r="H42" s="272" t="s">
        <v>837</v>
      </c>
      <c r="I42" s="276"/>
      <c r="J42" s="276">
        <f ca="1">I41-J41</f>
        <v>0</v>
      </c>
      <c r="K42" s="276"/>
      <c r="L42" s="276">
        <f ca="1">K41-L41</f>
        <v>0</v>
      </c>
      <c r="M42" s="276"/>
      <c r="N42" s="276">
        <f ca="1">M41-N41</f>
        <v>0</v>
      </c>
      <c r="O42" s="276"/>
      <c r="P42" s="276">
        <f ca="1">O41-P41</f>
        <v>11335.421248495004</v>
      </c>
      <c r="Q42" s="276"/>
      <c r="R42" s="276">
        <f ca="1">Q41-R41</f>
        <v>0</v>
      </c>
      <c r="S42" s="276"/>
      <c r="T42" s="276">
        <f ca="1">S41-T41</f>
        <v>0</v>
      </c>
      <c r="U42" s="276"/>
      <c r="V42" s="276">
        <f ca="1">U41-V41</f>
        <v>0</v>
      </c>
      <c r="W42" s="276"/>
      <c r="X42" s="276">
        <f ca="1">W41-X41</f>
        <v>0</v>
      </c>
      <c r="Y42" s="276"/>
      <c r="Z42" s="276">
        <f ca="1">Y41-Z41</f>
        <v>6248.6481272925103</v>
      </c>
      <c r="AA42" s="276"/>
      <c r="AB42" s="276">
        <f ca="1">AA41-AB41</f>
        <v>13583.413388259447</v>
      </c>
      <c r="AC42" s="276"/>
      <c r="AD42" s="276">
        <f ca="1">AC41-AD41</f>
        <v>9091.136600859536</v>
      </c>
      <c r="AE42" s="276"/>
      <c r="AF42" s="276">
        <f ca="1">AE41-AF41</f>
        <v>57270.180792083032</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0.13901557298356018</v>
      </c>
      <c r="E43" s="50"/>
      <c r="F43" s="50"/>
      <c r="G43" s="275" t="s">
        <v>868</v>
      </c>
      <c r="H43" s="277" t="s">
        <v>1164</v>
      </c>
      <c r="I43" s="278"/>
      <c r="J43" s="278">
        <f ca="1">IF(I41=0,0,J42/I41)</f>
        <v>0</v>
      </c>
      <c r="K43" s="278"/>
      <c r="L43" s="278">
        <f ca="1">IF(K41=0,0,L42/K41)</f>
        <v>0</v>
      </c>
      <c r="M43" s="278"/>
      <c r="N43" s="278">
        <f ca="1">IF(M41=0,0,N42/M41)</f>
        <v>0</v>
      </c>
      <c r="O43" s="278"/>
      <c r="P43" s="278">
        <f ca="1">IF(O41=0,0,P42/O41)</f>
        <v>0.15257896626189765</v>
      </c>
      <c r="Q43" s="278"/>
      <c r="R43" s="278">
        <f ca="1">IF(Q41=0,0,R42/Q41)</f>
        <v>0</v>
      </c>
      <c r="S43" s="278"/>
      <c r="T43" s="278">
        <f>IF(S41=0,0,T42/S41)</f>
        <v>0</v>
      </c>
      <c r="U43" s="278"/>
      <c r="V43" s="278">
        <f>IF(U41=0,0,V42/U41)</f>
        <v>0</v>
      </c>
      <c r="W43" s="278"/>
      <c r="X43" s="278">
        <f>IF(W41=0,0,X42/W41)</f>
        <v>0</v>
      </c>
      <c r="Y43" s="278"/>
      <c r="Z43" s="278">
        <f ca="1">IF(Y41=0,0,Z42/Y41)</f>
        <v>0.30155440350717994</v>
      </c>
      <c r="AA43" s="278"/>
      <c r="AB43" s="278">
        <f ca="1">IF(AA41=0,0,AB42/AA41)</f>
        <v>0.1752312566121689</v>
      </c>
      <c r="AC43" s="278"/>
      <c r="AD43" s="278">
        <f ca="1">IF(AC41=0,0,AD42/AC41)</f>
        <v>0.10551596747615409</v>
      </c>
      <c r="AE43" s="278"/>
      <c r="AF43" s="278">
        <f ca="1">IF(AE41=0,0,AF42/AE41)</f>
        <v>0.54867431656953136</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306137.24444863532</v>
      </c>
      <c r="D44" s="301">
        <f ca="1">IF(IF(C137=0,0,B137/C137*D137)*0.024*$D$149&gt;C44,C44,IF(C137=0,0,B137/C137*D137)*0.024*$D$149)</f>
        <v>263579.40000000002</v>
      </c>
      <c r="E44" s="50"/>
      <c r="F44" s="50"/>
      <c r="G44" s="302" t="s">
        <v>1182</v>
      </c>
      <c r="H44" s="294" t="s">
        <v>837</v>
      </c>
      <c r="I44" s="291">
        <f ca="1">'Расчет базового уровня'!J44</f>
        <v>49534.018695842024</v>
      </c>
      <c r="J44" s="303">
        <f ca="1">IF($C137=0,0,MIN($B137/$C137*$D137*0.024*$G$149,I44))</f>
        <v>49534.018695842024</v>
      </c>
      <c r="K44" s="291">
        <f ca="1">'Расчет базового уровня'!M44</f>
        <v>44882.843506004043</v>
      </c>
      <c r="L44" s="303">
        <f ca="1">IF($C137=0,0,MIN($B137/$C137*$D137*0.024*$H$149,K44))</f>
        <v>44882.843506004043</v>
      </c>
      <c r="M44" s="291">
        <f ca="1">'Расчет базового уровня'!P44</f>
        <v>45479.445014180601</v>
      </c>
      <c r="N44" s="303">
        <f ca="1">IF($C137=0,0,MIN($B137/$C137*$D137*0.024*$I$149,M44))</f>
        <v>45479.445014180601</v>
      </c>
      <c r="O44" s="291">
        <f ca="1">'Расчет базового уровня'!S44</f>
        <v>31600.11249883136</v>
      </c>
      <c r="P44" s="303">
        <f ca="1">IF($C137=0,0,MIN($B137/$C137*$D137*0.024*$J$149,O44))</f>
        <v>26778.600000000002</v>
      </c>
      <c r="Q44" s="291">
        <f ca="1">'Расчет базового уровня'!V44</f>
        <v>8384.7367077727577</v>
      </c>
      <c r="R44" s="303">
        <f ca="1">IF($C137=0,0,MIN($B137/$C137*$D137*0.024*$K$149,Q44))</f>
        <v>8384.7367077727577</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 ca="1">'Расчет базового уровня'!AH44</f>
        <v>8813.8575587157884</v>
      </c>
      <c r="Z44" s="303">
        <f ca="1">IF($C137=0,0,MIN($B137/$C137*$D137*0.024*$O$149,Y44))</f>
        <v>6156.0000000000009</v>
      </c>
      <c r="AA44" s="291">
        <f ca="1">'Расчет базового уровня'!AK44</f>
        <v>32971.824184676341</v>
      </c>
      <c r="AB44" s="303">
        <f ca="1">IF($C137=0,0,MIN($B137/$C137*$D137*0.024*$P$149,AA44))</f>
        <v>27194.130000000005</v>
      </c>
      <c r="AC44" s="291">
        <f ca="1">'Расчет базового уровня'!AN44</f>
        <v>36647.607791842958</v>
      </c>
      <c r="AD44" s="303">
        <f ca="1">IF($C137=0,0,MIN($B137/$C137*$D137*0.024*$Q$149,AC44))</f>
        <v>32780.700000000004</v>
      </c>
      <c r="AE44" s="291">
        <f ca="1">'Расчет базового уровня'!AQ44</f>
        <v>44397.606286651811</v>
      </c>
      <c r="AF44" s="303">
        <f ca="1">IF($C137=0,0,MIN($B137/$C137*$D137*0.024*$R$149,AE44))</f>
        <v>20037.78</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42557.844448635296</v>
      </c>
      <c r="E45" s="50"/>
      <c r="F45" s="50"/>
      <c r="G45" s="275" t="s">
        <v>1302</v>
      </c>
      <c r="H45" s="272" t="s">
        <v>837</v>
      </c>
      <c r="I45" s="276"/>
      <c r="J45" s="276">
        <f ca="1">I44-J44</f>
        <v>0</v>
      </c>
      <c r="K45" s="276"/>
      <c r="L45" s="276">
        <f ca="1">K44-L44</f>
        <v>0</v>
      </c>
      <c r="M45" s="276"/>
      <c r="N45" s="276">
        <f ca="1">M44-N44</f>
        <v>0</v>
      </c>
      <c r="O45" s="276"/>
      <c r="P45" s="276">
        <f ca="1">O44-P44</f>
        <v>4821.5124988313582</v>
      </c>
      <c r="Q45" s="276"/>
      <c r="R45" s="276">
        <f ca="1">Q44-R44</f>
        <v>0</v>
      </c>
      <c r="S45" s="276"/>
      <c r="T45" s="276">
        <f ca="1">S44-T44</f>
        <v>0</v>
      </c>
      <c r="U45" s="276"/>
      <c r="V45" s="276">
        <f ca="1">U44-V44</f>
        <v>0</v>
      </c>
      <c r="W45" s="276"/>
      <c r="X45" s="276">
        <f ca="1">W44-X44</f>
        <v>0</v>
      </c>
      <c r="Y45" s="276"/>
      <c r="Z45" s="276">
        <f ca="1">Y44-Z44</f>
        <v>2657.8575587157875</v>
      </c>
      <c r="AA45" s="276"/>
      <c r="AB45" s="276">
        <f ca="1">AA44-AB44</f>
        <v>5777.6941846763366</v>
      </c>
      <c r="AC45" s="276"/>
      <c r="AD45" s="276">
        <f ca="1">AC44-AD44</f>
        <v>3866.9077918429539</v>
      </c>
      <c r="AE45" s="276"/>
      <c r="AF45" s="276">
        <f ca="1">AE44-AF44</f>
        <v>24359.826286651813</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0.13901557298356026</v>
      </c>
      <c r="E46" s="1506">
        <f>(C44/C38)*100</f>
        <v>26.712110271777057</v>
      </c>
      <c r="F46" s="381">
        <f ca="1">(D44/D38)*100</f>
        <v>26.71211027177706</v>
      </c>
      <c r="G46" s="275" t="s">
        <v>868</v>
      </c>
      <c r="H46" s="277" t="s">
        <v>1164</v>
      </c>
      <c r="I46" s="278"/>
      <c r="J46" s="278">
        <f ca="1">IF(I44=0,0,J45/I44)</f>
        <v>0</v>
      </c>
      <c r="K46" s="278"/>
      <c r="L46" s="278">
        <f ca="1">IF(K44=0,0,L45/K44)</f>
        <v>0</v>
      </c>
      <c r="M46" s="278"/>
      <c r="N46" s="278">
        <f ca="1">IF(M44=0,0,N45/M44)</f>
        <v>0</v>
      </c>
      <c r="O46" s="278"/>
      <c r="P46" s="278">
        <f ca="1">IF(O44=0,0,P45/O44)</f>
        <v>0.15257896626189757</v>
      </c>
      <c r="Q46" s="278"/>
      <c r="R46" s="278">
        <f ca="1">IF(Q44=0,0,R45/Q44)</f>
        <v>0</v>
      </c>
      <c r="S46" s="278"/>
      <c r="T46" s="278">
        <f>IF(S44=0,0,T45/S44)</f>
        <v>0</v>
      </c>
      <c r="U46" s="278"/>
      <c r="V46" s="278">
        <f>IF(U44=0,0,V45/U44)</f>
        <v>0</v>
      </c>
      <c r="W46" s="278"/>
      <c r="X46" s="278">
        <f>IF(W44=0,0,X45/W44)</f>
        <v>0</v>
      </c>
      <c r="Y46" s="278"/>
      <c r="Z46" s="278">
        <f ca="1">IF(Y44=0,0,Z45/Y44)</f>
        <v>0.30155440350717977</v>
      </c>
      <c r="AA46" s="278"/>
      <c r="AB46" s="278">
        <f ca="1">IF(AA44=0,0,AB45/AA44)</f>
        <v>0.1752312566121689</v>
      </c>
      <c r="AC46" s="278"/>
      <c r="AD46" s="278">
        <f ca="1">IF(AC44=0,0,AD45/AC44)</f>
        <v>0.10551596747615412</v>
      </c>
      <c r="AE46" s="278"/>
      <c r="AF46" s="278">
        <f ca="1">IF(AE44=0,0,AF45/AE44)</f>
        <v>0.54867431656953136</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15684.766242590262</v>
      </c>
      <c r="D47" s="301">
        <f ca="1">IF(IF(C138=0,0,B138/C138*D138)*0.024*$D$149&gt;C47,C47,IF(C138=0,0,B138/C138*D138)*0.024*$D$149)</f>
        <v>13373.746909090907</v>
      </c>
      <c r="E47" s="50"/>
      <c r="F47" s="50"/>
      <c r="G47" s="302" t="s">
        <v>1184</v>
      </c>
      <c r="H47" s="294" t="s">
        <v>837</v>
      </c>
      <c r="I47" s="291">
        <f ca="1">'Расчет базового уровня'!J47</f>
        <v>2513.3050209097082</v>
      </c>
      <c r="J47" s="303">
        <f ca="1">IF($C138=0,0,MIN($B138/$C138*$D138*0.024*$G$149,I47))</f>
        <v>2513.3050209097082</v>
      </c>
      <c r="K47" s="291">
        <f ca="1">'Расчет базового уровня'!M47</f>
        <v>2277.3091888426497</v>
      </c>
      <c r="L47" s="303">
        <f ca="1">IF($C138=0,0,MIN($B138/$C138*$D138*0.024*$H$149,K47))</f>
        <v>2277.3091888426497</v>
      </c>
      <c r="M47" s="291">
        <f ca="1">'Расчет базового уровня'!P47</f>
        <v>2307.5801340528415</v>
      </c>
      <c r="N47" s="303">
        <f ca="1">IF($C138=0,0,MIN($B138/$C138*$D138*0.024*$I$149,M47))</f>
        <v>2307.5801340528415</v>
      </c>
      <c r="O47" s="291">
        <f ca="1">'Расчет базового уровня'!S47</f>
        <v>1603.3571168997682</v>
      </c>
      <c r="P47" s="303">
        <f ca="1">IF($C138=0,0,MIN($B138/$C138*$D138*0.024*$J$149,O47))</f>
        <v>1358.7185454545452</v>
      </c>
      <c r="Q47" s="291">
        <f ca="1">'Расчет базового уровня'!V47</f>
        <v>425.43289281756074</v>
      </c>
      <c r="R47" s="303">
        <f ca="1">IF($C138=0,0,MIN($B138/$C138*$D138*0.024*$K$149,Q47))</f>
        <v>425.43289281756074</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 ca="1">'Расчет базового уровня'!AH47</f>
        <v>857.07682081692883</v>
      </c>
      <c r="Z47" s="303">
        <f ca="1">IF($C138=0,0,MIN($B138/$C138*$D138*0.024*$O$149,Y47))</f>
        <v>312.34909090909082</v>
      </c>
      <c r="AA47" s="291">
        <f ca="1">'Расчет базового уровня'!AK47</f>
        <v>1672.9563531023441</v>
      </c>
      <c r="AB47" s="303">
        <f ca="1">IF($C138=0,0,MIN($B138/$C138*$D138*0.024*$P$149,AA47))</f>
        <v>1379.802109090909</v>
      </c>
      <c r="AC47" s="291">
        <f ca="1">'Расчет базового уровня'!AN47</f>
        <v>1859.4618222506597</v>
      </c>
      <c r="AD47" s="303">
        <f ca="1">IF($C138=0,0,MIN($B138/$C138*$D138*0.024*$Q$149,AC47))</f>
        <v>1663.2589090909087</v>
      </c>
      <c r="AE47" s="291">
        <f ca="1">'Расчет базового уровня'!AQ47</f>
        <v>2252.6887527900308</v>
      </c>
      <c r="AF47" s="303">
        <f ca="1">IF($C138=0,0,MIN($B138/$C138*$D138*0.024*$R$149,AE47))</f>
        <v>1016.6962909090906</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2311.0193334993546</v>
      </c>
      <c r="E48" s="50"/>
      <c r="F48" s="50"/>
      <c r="G48" s="275" t="s">
        <v>1302</v>
      </c>
      <c r="H48" s="272" t="s">
        <v>837</v>
      </c>
      <c r="I48" s="276"/>
      <c r="J48" s="276">
        <f ca="1">I47-J47</f>
        <v>0</v>
      </c>
      <c r="K48" s="276"/>
      <c r="L48" s="276">
        <f ca="1">K47-L47</f>
        <v>0</v>
      </c>
      <c r="M48" s="276"/>
      <c r="N48" s="276">
        <f ca="1">M47-N47</f>
        <v>0</v>
      </c>
      <c r="O48" s="276"/>
      <c r="P48" s="276">
        <f ca="1">O47-P47</f>
        <v>244.63857144522308</v>
      </c>
      <c r="Q48" s="276"/>
      <c r="R48" s="276">
        <f ca="1">Q47-R47</f>
        <v>0</v>
      </c>
      <c r="S48" s="276"/>
      <c r="T48" s="276">
        <f ca="1">S47-T47</f>
        <v>0</v>
      </c>
      <c r="U48" s="276"/>
      <c r="V48" s="276">
        <f ca="1">U47-V47</f>
        <v>0</v>
      </c>
      <c r="W48" s="276"/>
      <c r="X48" s="276">
        <f ca="1">W47-X47</f>
        <v>0</v>
      </c>
      <c r="Y48" s="276"/>
      <c r="Z48" s="276">
        <f ca="1">Y47-Z47</f>
        <v>544.72772990783801</v>
      </c>
      <c r="AA48" s="276"/>
      <c r="AB48" s="276">
        <f ca="1">AA47-AB47</f>
        <v>293.15424401143514</v>
      </c>
      <c r="AC48" s="276"/>
      <c r="AD48" s="276">
        <f ca="1">AC47-AD47</f>
        <v>196.20291315975101</v>
      </c>
      <c r="AE48" s="276"/>
      <c r="AF48" s="276">
        <f ca="1">AE47-AF47</f>
        <v>1235.99246188094</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0.1473416497100247</v>
      </c>
      <c r="E49" s="50"/>
      <c r="F49" s="50"/>
      <c r="G49" s="275" t="s">
        <v>868</v>
      </c>
      <c r="H49" s="277" t="s">
        <v>1164</v>
      </c>
      <c r="I49" s="278"/>
      <c r="J49" s="278">
        <f ca="1">IF(I47=0,0,J48/I47)</f>
        <v>0</v>
      </c>
      <c r="K49" s="278"/>
      <c r="L49" s="278">
        <f ca="1">IF(K47=0,0,L48/K47)</f>
        <v>0</v>
      </c>
      <c r="M49" s="278"/>
      <c r="N49" s="278">
        <f ca="1">IF(M47=0,0,N48/M47)</f>
        <v>0</v>
      </c>
      <c r="O49" s="278"/>
      <c r="P49" s="278">
        <f ca="1">IF(O47=0,0,P48/O47)</f>
        <v>0.15257896626189757</v>
      </c>
      <c r="Q49" s="278"/>
      <c r="R49" s="278">
        <f ca="1">IF(Q47=0,0,R48/Q47)</f>
        <v>0</v>
      </c>
      <c r="S49" s="278"/>
      <c r="T49" s="278">
        <f>IF(S47=0,0,T48/S47)</f>
        <v>0</v>
      </c>
      <c r="U49" s="278"/>
      <c r="V49" s="278">
        <f>IF(U47=0,0,V48/U47)</f>
        <v>0</v>
      </c>
      <c r="W49" s="278"/>
      <c r="X49" s="278">
        <f>IF(W47=0,0,X48/W47)</f>
        <v>0</v>
      </c>
      <c r="Y49" s="278"/>
      <c r="Z49" s="278">
        <f ca="1">IF(Y47=0,0,Z48/Y47)</f>
        <v>0.63556465030593978</v>
      </c>
      <c r="AA49" s="278"/>
      <c r="AB49" s="278">
        <f ca="1">IF(AA47=0,0,AB48/AA47)</f>
        <v>0.17523125661216893</v>
      </c>
      <c r="AC49" s="278"/>
      <c r="AD49" s="278">
        <f ca="1">IF(AC47=0,0,AD48/AC47)</f>
        <v>0.10551596747615419</v>
      </c>
      <c r="AE49" s="278"/>
      <c r="AF49" s="278">
        <f ca="1">IF(AE47=0,0,AF48/AE47)</f>
        <v>0.54867431656953136</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0</v>
      </c>
      <c r="D50" s="301">
        <f ca="1">IF(IF(C139=0,0,B139/C139*D139)*0.024*$D$149&gt;C50,C50,IF(C139=0,0,B139/C139*D139)*0.024*$D$149)</f>
        <v>0</v>
      </c>
      <c r="E50" s="50"/>
      <c r="F50" s="50"/>
      <c r="G50" s="300" t="s">
        <v>1512</v>
      </c>
      <c r="H50" s="294" t="s">
        <v>837</v>
      </c>
      <c r="I50" s="291">
        <f ca="1">'Расчет базового уровня'!J50</f>
        <v>0</v>
      </c>
      <c r="J50" s="303">
        <f ca="1">IF($C139=0,0,MIN($B139/$C139*$D139*0.024*$G$149,I50))</f>
        <v>0</v>
      </c>
      <c r="K50" s="291">
        <f ca="1">'Расчет базового уровня'!M50</f>
        <v>0</v>
      </c>
      <c r="L50" s="303">
        <f ca="1">IF($C139=0,0,MIN($B139/$C139*$D139*0.024*$H$149,K50))</f>
        <v>0</v>
      </c>
      <c r="M50" s="291">
        <f ca="1">'Расчет базового уровня'!P50</f>
        <v>0</v>
      </c>
      <c r="N50" s="303">
        <f ca="1">IF($C139=0,0,MIN($B139/$C139*$D139*0.024*$I$149,M50))</f>
        <v>0</v>
      </c>
      <c r="O50" s="291">
        <f ca="1">'Расчет базового уровня'!S50</f>
        <v>0</v>
      </c>
      <c r="P50" s="303">
        <f ca="1">IF($C139=0,0,MIN($B139/$C139*$D139*0.024*$J$149,O50))</f>
        <v>0</v>
      </c>
      <c r="Q50" s="291">
        <f ca="1">'Расчет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 ca="1">'Расчет базового уровня'!AH50</f>
        <v>0</v>
      </c>
      <c r="Z50" s="303">
        <f ca="1">IF($C139=0,0,MIN($B139/$C139*$D139*0.024*$O$149,Y50))</f>
        <v>0</v>
      </c>
      <c r="AA50" s="291">
        <f ca="1">'Расчет базового уровня'!AK50</f>
        <v>0</v>
      </c>
      <c r="AB50" s="303">
        <f ca="1">IF($C139=0,0,MIN($B139/$C139*$D139*0.024*$P$149,AA50))</f>
        <v>0</v>
      </c>
      <c r="AC50" s="291">
        <f ca="1">'Расчет базового уровня'!AN50</f>
        <v>0</v>
      </c>
      <c r="AD50" s="303">
        <f ca="1">IF($C139=0,0,MIN($B139/$C139*$D139*0.024*$Q$149,AC50))</f>
        <v>0</v>
      </c>
      <c r="AE50" s="291">
        <f ca="1">'Расчет базового уровня'!AQ50</f>
        <v>0</v>
      </c>
      <c r="AF50" s="303">
        <f ca="1">IF($C139=0,0,MIN($B139/$C139*$D139*0.024*$R$149,AE50))</f>
        <v>0</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0</v>
      </c>
      <c r="E51" s="50"/>
      <c r="F51" s="50"/>
      <c r="G51" s="275" t="s">
        <v>1302</v>
      </c>
      <c r="H51" s="272" t="s">
        <v>837</v>
      </c>
      <c r="I51" s="276"/>
      <c r="J51" s="276">
        <f ca="1">I50-J50</f>
        <v>0</v>
      </c>
      <c r="K51" s="276"/>
      <c r="L51" s="276">
        <f ca="1">K50-L50</f>
        <v>0</v>
      </c>
      <c r="M51" s="276"/>
      <c r="N51" s="276">
        <f ca="1">M50-N50</f>
        <v>0</v>
      </c>
      <c r="O51" s="276"/>
      <c r="P51" s="276">
        <f ca="1">O50-P50</f>
        <v>0</v>
      </c>
      <c r="Q51" s="276"/>
      <c r="R51" s="276">
        <f ca="1">Q50-R50</f>
        <v>0</v>
      </c>
      <c r="S51" s="276"/>
      <c r="T51" s="276">
        <f ca="1">S50-T50</f>
        <v>0</v>
      </c>
      <c r="U51" s="276"/>
      <c r="V51" s="276">
        <f ca="1">U50-V50</f>
        <v>0</v>
      </c>
      <c r="W51" s="276"/>
      <c r="X51" s="276">
        <f ca="1">W50-X50</f>
        <v>0</v>
      </c>
      <c r="Y51" s="276"/>
      <c r="Z51" s="276">
        <f ca="1">Y50-Z50</f>
        <v>0</v>
      </c>
      <c r="AA51" s="276"/>
      <c r="AB51" s="276">
        <f ca="1">AA50-AB50</f>
        <v>0</v>
      </c>
      <c r="AC51" s="276"/>
      <c r="AD51" s="276">
        <f ca="1">AC50-AD50</f>
        <v>0</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IF(C50=0,0,D51/C50)</f>
        <v>0</v>
      </c>
      <c r="E52" s="50"/>
      <c r="F52" s="50"/>
      <c r="G52" s="275" t="s">
        <v>868</v>
      </c>
      <c r="H52" s="277" t="s">
        <v>1164</v>
      </c>
      <c r="I52" s="278"/>
      <c r="J52" s="278">
        <f ca="1">IF(I50=0,0,J51/I50)</f>
        <v>0</v>
      </c>
      <c r="K52" s="278"/>
      <c r="L52" s="278">
        <f ca="1">IF(K50=0,0,L51/K50)</f>
        <v>0</v>
      </c>
      <c r="M52" s="278"/>
      <c r="N52" s="278">
        <f ca="1">IF(M50=0,0,N51/M50)</f>
        <v>0</v>
      </c>
      <c r="O52" s="278"/>
      <c r="P52" s="278">
        <f ca="1">IF(O50=0,0,P51/O50)</f>
        <v>0</v>
      </c>
      <c r="Q52" s="278"/>
      <c r="R52" s="278">
        <f ca="1">IF(Q50=0,0,R51/Q50)</f>
        <v>0</v>
      </c>
      <c r="S52" s="278"/>
      <c r="T52" s="278">
        <f>IF(S50=0,0,T51/S50)</f>
        <v>0</v>
      </c>
      <c r="U52" s="278"/>
      <c r="V52" s="278">
        <f>IF(U50=0,0,V51/U50)</f>
        <v>0</v>
      </c>
      <c r="W52" s="278"/>
      <c r="X52" s="278">
        <f>IF(W50=0,0,X51/W50)</f>
        <v>0</v>
      </c>
      <c r="Y52" s="278"/>
      <c r="Z52" s="278">
        <f ca="1">IF(Y50=0,0,Z51/Y50)</f>
        <v>0</v>
      </c>
      <c r="AA52" s="278"/>
      <c r="AB52" s="278">
        <f ca="1">IF(AA50=0,0,AB51/AA50)</f>
        <v>0</v>
      </c>
      <c r="AC52" s="278"/>
      <c r="AD52" s="278">
        <f ca="1">IF(AC50=0,0,AD51/AC50)</f>
        <v>0</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6932.6559368576709</v>
      </c>
      <c r="D53" s="301">
        <f ca="1">IF((IF(C140=0,0,B140/C140*D140)+IF(C141=0,0,B141/C141*D141)+IF(C142=0,0,B142/C142*D142))*0.024*$D$149&gt;C53,C53,(IF(C140=0,0,B140/C140*D140)+IF(C141=0,0,B141/C141*D141)+IF(C142=0,0,B142/C142*D142))*0.024*$D$149)</f>
        <v>5968.9087994975207</v>
      </c>
      <c r="E53" s="50"/>
      <c r="F53" s="50"/>
      <c r="G53" s="302" t="s">
        <v>1186</v>
      </c>
      <c r="H53" s="294" t="s">
        <v>837</v>
      </c>
      <c r="I53" s="291">
        <f ca="1">'Расчет базового уровня'!J53</f>
        <v>1121.7266602324996</v>
      </c>
      <c r="J53" s="303">
        <f ca="1">IF((IF(C140=0,0,B140/C140*D140)+IF(C141=0,0,B141/C141*D141)+IF(C142=0,0,B142/C142*D142))*0.024*G$149&gt;I53,I53,(IF(C140=0,0,B140/C140*D140)+IF(C141=0,0,B141/C141*D141)+IF(C142=0,0,B142/C142*D142))*0.024*G$149)</f>
        <v>1121.7266602324996</v>
      </c>
      <c r="K53" s="291">
        <f ca="1">'Расчет базового уровня'!M53</f>
        <v>1016.3980931342043</v>
      </c>
      <c r="L53" s="303">
        <f ca="1">IF((IF($C$140=0,0,$B$140/$C$140*$D$140)+IF($C$141=0,0,$B$141/$C$141*$D$141)+IF($C$142=0,0,$B$142/$C$142*$D$142))*0.024*$H$149&gt;K53,K53,(IF($C$140=0,0,$B$140/$C$140*$D$140)+IF($C$141=0,0,$B$141/$C$141*$D$141)+IF($C$142=0,0,$B$142/$C$142*$D$142))*0.024*$H$149)</f>
        <v>1016.3980931342043</v>
      </c>
      <c r="M53" s="291">
        <f ca="1">'Расчет базового уровня'!P53</f>
        <v>1029.9084812447641</v>
      </c>
      <c r="N53" s="303">
        <f ca="1">IF((IF($C$140=0,0,$B$140/$C$140*$D$140)+IF($C$141=0,0,$B$141/$C$141*$D$141)+IF($C$142=0,0,$B$142/$C$142*$D$142))*0.024*$I$149&gt;M53,M53,(IF($C$140=0,0,$B$140/$C$140*$D$140)+IF($C$141=0,0,$B$141/$C$141*$D$141)+IF($C$142=0,0,$B$142/$C$142*$D$142))*0.024*$I$149)</f>
        <v>1029.9084812447641</v>
      </c>
      <c r="O53" s="291">
        <f ca="1">'Расчет базового уровня'!S53</f>
        <v>715.60292480894213</v>
      </c>
      <c r="P53" s="303">
        <f ca="1">IF((IF($C$140=0,0,$B$140/$C$140*$D$140)+IF($C$141=0,0,$B$141/$C$141*$D$141)+IF($C$142=0,0,$B$142/$C$142*$D$142))*0.024*$J$149&gt;O53,O53,(IF($C$140=0,0,$B$140/$C$140*$D$140)+IF($C$141=0,0,$B$141/$C$141*$D$141)+IF($C$142=0,0,$B$142/$C$142*$D$142))*0.024*$J$149)</f>
        <v>606.41697028760336</v>
      </c>
      <c r="Q53" s="291">
        <f ca="1">'Расчет базового уровня'!V53</f>
        <v>189.8772389515064</v>
      </c>
      <c r="R53" s="303">
        <f ca="1">IF((IF($C$140=0,0,$B$140/$C$140*$D$140)+IF($C$141=0,0,$B$141/$C$141*$D$141)+IF($C$142=0,0,$B$142/$C$142*$D$142))*0.024*$K$149&gt;Q53,Q53,(IF($C$140=0,0,$B$140/$C$140*$D$140)+IF($C$141=0,0,$B$141/$C$141*$D$141)+IF($C$142=0,0,$B$142/$C$142*$D$142))*0.024*$K$149)</f>
        <v>189.8772389515064</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199.59493017943132</v>
      </c>
      <c r="Z53" s="303">
        <f ca="1">IF((IF($C$140=0,0,$B$140/$C$140*$D$140)+IF($C$141=0,0,$B$141/$C$141*$D$141)+IF($C$142=0,0,$B$142/$C$142*$D$142))*0.024*$O$149&gt;Y53,Y53,(IF($C$140=0,0,$B$140/$C$140*$D$140)+IF($C$141=0,0,$B$141/$C$141*$D$141)+IF($C$142=0,0,$B$142/$C$142*$D$142))*0.024*$O$149)</f>
        <v>139.4062000661157</v>
      </c>
      <c r="AA53" s="291">
        <f ca="1">'Расчет базового уровня'!AK53</f>
        <v>746.66613366370734</v>
      </c>
      <c r="AB53" s="303">
        <f ca="1">IF((IF($C$140=0,0,$B$140/$C$140*$D$140)+IF($C$141=0,0,$B$141/$C$141*$D$141)+IF($C$142=0,0,$B$142/$C$142*$D$142))*0.024*$P$149&gt;AA53,AA53,(IF($C$140=0,0,$B$140/$C$140*$D$140)+IF($C$141=0,0,$B$141/$C$141*$D$141)+IF($C$142=0,0,$B$142/$C$142*$D$142))*0.024*$P$149)</f>
        <v>615.82688879206614</v>
      </c>
      <c r="AC53" s="291">
        <f ca="1">'Расчет базового уровня'!AN53</f>
        <v>829.90639112641327</v>
      </c>
      <c r="AD53" s="303">
        <f ca="1">IF((IF($C$140=0,0,$B$140/$C$140*$D$140)+IF($C$141=0,0,$B$141/$C$141*$D$141)+IF($C$142=0,0,$B$142/$C$142*$D$142))*0.024*$Q$149&gt;AC53,AC53,(IF($C$140=0,0,$B$140/$C$140*$D$140)+IF($C$141=0,0,$B$141/$C$141*$D$141)+IF($C$142=0,0,$B$142/$C$142*$D$142))*0.024*$Q$149)</f>
        <v>742.33801535206612</v>
      </c>
      <c r="AE53" s="291">
        <f ca="1">'Расчет базового уровня'!AQ53</f>
        <v>1005.4096141087748</v>
      </c>
      <c r="AF53" s="303">
        <f ca="1">IF((IF($C$140=0,0,$B$140/$C$140*$D$140)+IF($C$141=0,0,$B$141/$C$141*$D$141)+IF($C$142=0,0,$B$142/$C$142*$D$142))*0.024*$R$149&gt;AE53,AE53,(IF($C$140=0,0,$B$140/$C$140*$D$140)+IF($C$141=0,0,$B$141/$C$141*$D$141)+IF($C$142=0,0,$B$142/$C$142*$D$142))*0.024*$R$149)</f>
        <v>453.76718121520662</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963.74713736015019</v>
      </c>
      <c r="E54" s="50"/>
      <c r="F54" s="50"/>
      <c r="G54" s="275" t="s">
        <v>1302</v>
      </c>
      <c r="H54" s="272" t="s">
        <v>837</v>
      </c>
      <c r="I54" s="276"/>
      <c r="J54" s="276">
        <f ca="1">I53-J53</f>
        <v>0</v>
      </c>
      <c r="K54" s="276"/>
      <c r="L54" s="276">
        <f ca="1">K53-L53</f>
        <v>0</v>
      </c>
      <c r="M54" s="276"/>
      <c r="N54" s="276">
        <f ca="1">M53-N53</f>
        <v>0</v>
      </c>
      <c r="O54" s="276"/>
      <c r="P54" s="276">
        <f ca="1">O53-P53</f>
        <v>109.18595452133877</v>
      </c>
      <c r="Q54" s="276"/>
      <c r="R54" s="276">
        <f ca="1">Q53-R53</f>
        <v>0</v>
      </c>
      <c r="S54" s="276"/>
      <c r="T54" s="276">
        <f ca="1">S53-T53</f>
        <v>0</v>
      </c>
      <c r="U54" s="276"/>
      <c r="V54" s="276">
        <f ca="1">U53-V53</f>
        <v>0</v>
      </c>
      <c r="W54" s="276"/>
      <c r="X54" s="276">
        <f ca="1">W53-X53</f>
        <v>0</v>
      </c>
      <c r="Y54" s="276"/>
      <c r="Z54" s="276">
        <f ca="1">Y53-Z53</f>
        <v>60.188730113315614</v>
      </c>
      <c r="AA54" s="276"/>
      <c r="AB54" s="276">
        <f ca="1">AA53-AB53</f>
        <v>130.8392448716412</v>
      </c>
      <c r="AC54" s="276"/>
      <c r="AD54" s="276">
        <f ca="1">AC53-AD53</f>
        <v>87.568375774347146</v>
      </c>
      <c r="AE54" s="276"/>
      <c r="AF54" s="276">
        <f ca="1">AE53-AF53</f>
        <v>551.64243289356818</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0.13901557298356029</v>
      </c>
      <c r="E55" s="50"/>
      <c r="F55" s="50"/>
      <c r="G55" s="275" t="s">
        <v>868</v>
      </c>
      <c r="H55" s="277" t="s">
        <v>1164</v>
      </c>
      <c r="I55" s="278"/>
      <c r="J55" s="278">
        <f ca="1">IF(I53=0,0,J54/I53)</f>
        <v>0</v>
      </c>
      <c r="K55" s="278"/>
      <c r="L55" s="278">
        <f ca="1">IF(K53=0,0,L54/K53)</f>
        <v>0</v>
      </c>
      <c r="M55" s="278"/>
      <c r="N55" s="278">
        <f ca="1">IF(M53=0,0,N54/M53)</f>
        <v>0</v>
      </c>
      <c r="O55" s="278"/>
      <c r="P55" s="278">
        <f ca="1">IF(O53=0,0,P54/O53)</f>
        <v>0.15257896626189751</v>
      </c>
      <c r="Q55" s="278"/>
      <c r="R55" s="278">
        <f ca="1">IF(Q53=0,0,R54/Q53)</f>
        <v>0</v>
      </c>
      <c r="S55" s="278"/>
      <c r="T55" s="278">
        <f>IF(S53=0,0,T54/S53)</f>
        <v>0</v>
      </c>
      <c r="U55" s="278"/>
      <c r="V55" s="278">
        <f>IF(U53=0,0,V54/U53)</f>
        <v>0</v>
      </c>
      <c r="W55" s="278"/>
      <c r="X55" s="278">
        <f>IF(W53=0,0,X54/W53)</f>
        <v>0</v>
      </c>
      <c r="Y55" s="278"/>
      <c r="Z55" s="278">
        <f ca="1">IF(Y53=0,0,Z54/Y53)</f>
        <v>0.30155440350717982</v>
      </c>
      <c r="AA55" s="278"/>
      <c r="AB55" s="278">
        <f ca="1">IF(AA53=0,0,AB54/AA53)</f>
        <v>0.17523125661216904</v>
      </c>
      <c r="AC55" s="278"/>
      <c r="AD55" s="278">
        <f ca="1">IF(AC53=0,0,AD54/AC53)</f>
        <v>0.10551596747615422</v>
      </c>
      <c r="AE55" s="278"/>
      <c r="AF55" s="278">
        <f ca="1">IF(AE53=0,0,AF54/AE53)</f>
        <v>0.54867431656953125</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92435.412491435607</v>
      </c>
      <c r="D56" s="301">
        <f ca="1">IF((IF(C144=0,0,B144/C144*D144)+IF(C143=0,0,B143/C143*D143))*0.024*$D$149&gt;C56,C56,(IF(C144=0,0,B144/C144*D144)+IF(C143=0,0,B143/C143*D143))*0.024*$D$149)</f>
        <v>79585.450659966955</v>
      </c>
      <c r="E56" s="50"/>
      <c r="F56" s="50"/>
      <c r="G56" s="302" t="s">
        <v>1187</v>
      </c>
      <c r="H56" s="294" t="s">
        <v>837</v>
      </c>
      <c r="I56" s="291">
        <f ca="1">'Расчет базового уровня'!J56</f>
        <v>14956.355469766664</v>
      </c>
      <c r="J56" s="303">
        <f ca="1">IF((IF($C$144=0,0,$B$144/$C$144*$D$144)+IF($C$143=0,0,$B$143/$C$143*$D$143))*0.024*$G$149&gt;I56,I56,(IF($C$144=0,0,$B$144/$C$144*$D$144)+IF($C$143=0,0,$B$143/$C$143*$D$143))*0.024*$G$149)</f>
        <v>14956.355469766664</v>
      </c>
      <c r="K56" s="291">
        <f ca="1">'Расчет базового уровня'!M56</f>
        <v>13551.974575122724</v>
      </c>
      <c r="L56" s="303">
        <f ca="1">IF((IF($C$144=0,0,$B$144/$C$144*$D$144)+IF($C$143=0,0,$B$143/$C$143*$D$143))*0.024*$H$149&gt;K56,K56,(IF($C$144=0,0,$B$144/$C$144*$D$144)+IF($C$143=0,0,$B$143/$C$143*$D$143))*0.024*$H$149)</f>
        <v>13551.974575122724</v>
      </c>
      <c r="M56" s="291">
        <f ca="1">'Расчет базового уровня'!P56</f>
        <v>13732.113083263524</v>
      </c>
      <c r="N56" s="303">
        <f ca="1">IF((IF($C$144=0,0,$B$144/$C$144*$D$144)+IF($C$143=0,0,$B$143/$C$143*$D$143))*0.024*$I$149&gt;M56,M56,(IF($C$144=0,0,$B$144/$C$144*$D$144)+IF($C$143=0,0,$B$143/$C$143*$D$143))*0.024*$I$149)</f>
        <v>13732.113083263524</v>
      </c>
      <c r="O56" s="291">
        <f ca="1">'Расчет базового уровня'!S56</f>
        <v>9541.3723307858945</v>
      </c>
      <c r="P56" s="303">
        <f ca="1">IF((IF($C$144=0,0,$B$144/$C$144*$D$144)+IF($C$143=0,0,$B$143/$C$143*$D$143))*0.024*$J$149&gt;O56,O56,(IF($C$144=0,0,$B$144/$C$144*$D$144)+IF($C$143=0,0,$B$143/$C$143*$D$143))*0.024*$J$149)</f>
        <v>8085.5596038347112</v>
      </c>
      <c r="Q56" s="291">
        <f ca="1">'Расчет базового уровня'!V56</f>
        <v>2531.6965193534188</v>
      </c>
      <c r="R56" s="303">
        <f ca="1">IF((IF($C$144=0,0,$B$144/$C$144*$D$144)+IF($C$143=0,0,$B$143/$C$143*$D$143))*0.024*$K$149&gt;Q56,Q56,(IF($C$144=0,0,$B$144/$C$144*$D$144)+IF($C$143=0,0,$B$143/$C$143*$D$143))*0.024*$K$149)</f>
        <v>2531.6965193534188</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 ca="1">'Расчет базового уровня'!AH56</f>
        <v>2661.2657357257513</v>
      </c>
      <c r="Z56" s="303">
        <f ca="1">IF((IF($C$144=0,0,$B$144/$C$144*$D$144)+IF($C$143=0,0,$B$143/$C$143*$D$143))*0.024*$O$149&gt;Y56,Y56,(IF($C$144=0,0,$B$144/$C$144*$D$144)+IF($C$143=0,0,$B$143/$C$143*$D$143))*0.024*$O$149)</f>
        <v>1858.7493342148762</v>
      </c>
      <c r="AA56" s="291">
        <f ca="1">'Расчет базового уровня'!AK56</f>
        <v>9955.5484488494312</v>
      </c>
      <c r="AB56" s="303">
        <f ca="1">IF((IF($C$144=0,0,$B$144/$C$144*$D$144)+IF($C$143=0,0,$B$143/$C$143*$D$143))*0.024*$P$149&gt;AA56,AA56,(IF($C$144=0,0,$B$144/$C$144*$D$144)+IF($C$143=0,0,$B$143/$C$143*$D$143))*0.024*$P$149)</f>
        <v>8211.0251838942168</v>
      </c>
      <c r="AC56" s="291">
        <f ca="1">'Расчет базового уровня'!AN56</f>
        <v>11065.418548352176</v>
      </c>
      <c r="AD56" s="303">
        <f ca="1">IF((IF($C$144=0,0,$B$144/$C$144*$D$144)+IF($C$143=0,0,$B$143/$C$143*$D$143))*0.024*$Q$149&gt;AC56,AC56,(IF($C$144=0,0,$B$144/$C$144*$D$144)+IF($C$143=0,0,$B$143/$C$143*$D$143))*0.024*$Q$149)</f>
        <v>9897.8402046942156</v>
      </c>
      <c r="AE56" s="291">
        <f ca="1">'Расчет базового уровня'!AQ56</f>
        <v>13405.461521450332</v>
      </c>
      <c r="AF56" s="303">
        <f ca="1">IF((IF($C$144=0,0,$B$144/$C$144*$D$144)+IF($C$143=0,0,$B$143/$C$143*$D$143))*0.024*$R$149&gt;AE56,AE56,(IF($C$144=0,0,$B$144/$C$144*$D$144)+IF($C$143=0,0,$B$143/$C$143*$D$143))*0.024*$R$149)</f>
        <v>6050.2290828694213</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12849.961831468652</v>
      </c>
      <c r="E57" s="50"/>
      <c r="F57" s="50"/>
      <c r="G57" s="275" t="s">
        <v>1302</v>
      </c>
      <c r="H57" s="272" t="s">
        <v>837</v>
      </c>
      <c r="I57" s="276"/>
      <c r="J57" s="276">
        <f ca="1">I56-J56</f>
        <v>0</v>
      </c>
      <c r="K57" s="276"/>
      <c r="L57" s="276">
        <f ca="1">K56-L56</f>
        <v>0</v>
      </c>
      <c r="M57" s="276"/>
      <c r="N57" s="276">
        <f ca="1">M56-N56</f>
        <v>0</v>
      </c>
      <c r="O57" s="276"/>
      <c r="P57" s="276">
        <f ca="1">O56-P56</f>
        <v>1455.8127269511833</v>
      </c>
      <c r="Q57" s="276"/>
      <c r="R57" s="276">
        <f ca="1">Q56-R56</f>
        <v>0</v>
      </c>
      <c r="S57" s="276"/>
      <c r="T57" s="276">
        <f ca="1">S56-T56</f>
        <v>0</v>
      </c>
      <c r="U57" s="276"/>
      <c r="V57" s="276">
        <f ca="1">U56-V56</f>
        <v>0</v>
      </c>
      <c r="W57" s="276"/>
      <c r="X57" s="276">
        <f ca="1">W56-X56</f>
        <v>0</v>
      </c>
      <c r="Y57" s="276"/>
      <c r="Z57" s="276">
        <f ca="1">Y56-Z56</f>
        <v>802.51640151087508</v>
      </c>
      <c r="AA57" s="276"/>
      <c r="AB57" s="276">
        <f ca="1">AA56-AB56</f>
        <v>1744.5232649552145</v>
      </c>
      <c r="AC57" s="276"/>
      <c r="AD57" s="276">
        <f ca="1">AC56-AD56</f>
        <v>1167.5783436579604</v>
      </c>
      <c r="AE57" s="276"/>
      <c r="AF57" s="276">
        <f ca="1">AE56-AF56</f>
        <v>7355.2324385809106</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0.13901557298356013</v>
      </c>
      <c r="E58" s="50"/>
      <c r="F58" s="50"/>
      <c r="G58" s="275" t="s">
        <v>868</v>
      </c>
      <c r="H58" s="277" t="s">
        <v>1164</v>
      </c>
      <c r="I58" s="278"/>
      <c r="J58" s="278">
        <f ca="1">IF(I56=0,0,J57/I56)</f>
        <v>0</v>
      </c>
      <c r="K58" s="278"/>
      <c r="L58" s="278">
        <f ca="1">IF(K56=0,0,L57/K56)</f>
        <v>0</v>
      </c>
      <c r="M58" s="278"/>
      <c r="N58" s="278">
        <f ca="1">IF(M56=0,0,N57/M56)</f>
        <v>0</v>
      </c>
      <c r="O58" s="278"/>
      <c r="P58" s="278">
        <f ca="1">IF(O56=0,0,P57/O56)</f>
        <v>0.15257896626189751</v>
      </c>
      <c r="Q58" s="278"/>
      <c r="R58" s="278">
        <f ca="1">IF(Q56=0,0,R57/Q56)</f>
        <v>0</v>
      </c>
      <c r="S58" s="278"/>
      <c r="T58" s="278">
        <f>IF(S56=0,0,T57/S56)</f>
        <v>0</v>
      </c>
      <c r="U58" s="278"/>
      <c r="V58" s="278">
        <f>IF(U56=0,0,V57/U56)</f>
        <v>0</v>
      </c>
      <c r="W58" s="278"/>
      <c r="X58" s="278">
        <f>IF(W56=0,0,X57/W56)</f>
        <v>0</v>
      </c>
      <c r="Y58" s="278"/>
      <c r="Z58" s="278">
        <f ca="1">IF(Y56=0,0,Z57/Y56)</f>
        <v>0.30155440350717988</v>
      </c>
      <c r="AA58" s="278"/>
      <c r="AB58" s="278">
        <f ca="1">IF(AA56=0,0,AB57/AA56)</f>
        <v>0.17523125661216887</v>
      </c>
      <c r="AC58" s="278"/>
      <c r="AD58" s="278">
        <f ca="1">IF(AC56=0,0,AD57/AC56)</f>
        <v>0.10551596747615409</v>
      </c>
      <c r="AE58" s="278"/>
      <c r="AF58" s="278">
        <f ca="1">IF(AE56=0,0,AF57/AE56)</f>
        <v>0.54867431656953136</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5291.6797932395693</v>
      </c>
      <c r="D59" s="304">
        <f ca="1">IF(IF(C145=0,0,B145/C145*D145)*0.024*$D$149&gt;C59,C59,IF(C145=0,0,B145/C145*D145)*0.024*$D$149)</f>
        <v>4556.0538947368423</v>
      </c>
      <c r="E59" s="50"/>
      <c r="F59" s="50"/>
      <c r="G59" s="302" t="s">
        <v>1188</v>
      </c>
      <c r="H59" s="294" t="s">
        <v>837</v>
      </c>
      <c r="I59" s="291">
        <f ca="1">'Расчет базового уровня'!J59</f>
        <v>856.21129269267112</v>
      </c>
      <c r="J59" s="305">
        <f ca="1">IF($C145=0,0,MIN($B145/$C145*$D145*0.024*$G$149,I59))</f>
        <v>856.21129269267112</v>
      </c>
      <c r="K59" s="291">
        <f ca="1">'Расчет базового уровня'!M59</f>
        <v>775.81424786001458</v>
      </c>
      <c r="L59" s="305">
        <f ca="1">IF($C145=0,0,MIN($B145/$C145*$D145*0.024*$H$149,K59))</f>
        <v>775.81424786001458</v>
      </c>
      <c r="M59" s="291">
        <f ca="1">'Расчет базового уровня'!P59</f>
        <v>786.12669498195828</v>
      </c>
      <c r="N59" s="305">
        <f ca="1">IF($C145=0,0,MIN($B145/$C145*$D145*0.024*$I$149,M59))</f>
        <v>786.12669498195828</v>
      </c>
      <c r="O59" s="291">
        <f ca="1">'Расчет базового уровня'!S59</f>
        <v>546.21801106013208</v>
      </c>
      <c r="P59" s="305">
        <f ca="1">IF($C145=0,0,MIN($B145/$C145*$D145*0.024*$J$149,O59))</f>
        <v>462.87663157894741</v>
      </c>
      <c r="Q59" s="291">
        <f ca="1">'Расчет базового уровня'!V59</f>
        <v>144.93284503186155</v>
      </c>
      <c r="R59" s="305">
        <f ca="1">IF($C145=0,0,MIN($B145/$C145*$D145*0.024*$K$149,Q59))</f>
        <v>144.93284503186155</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 ca="1">'Расчет базового уровня'!AH59</f>
        <v>152.35033564095991</v>
      </c>
      <c r="Z59" s="305">
        <f ca="1">IF($C145=0,0,MIN($B145/$C145*$D145*0.024*$O$149,Y59))</f>
        <v>106.4084210526316</v>
      </c>
      <c r="AA59" s="291">
        <f ca="1">'Расчет базового уровня'!AK59</f>
        <v>569.92848452182932</v>
      </c>
      <c r="AB59" s="305">
        <f ca="1">IF($C145=0,0,MIN($B145/$C145*$D145*0.024*$P$149,AA59))</f>
        <v>470.05920000000009</v>
      </c>
      <c r="AC59" s="291">
        <f ca="1">'Расчет базового уровня'!AN59</f>
        <v>633.46557512770096</v>
      </c>
      <c r="AD59" s="305">
        <f ca="1">IF($C145=0,0,MIN($B145/$C145*$D145*0.024*$Q$149,AC59))</f>
        <v>566.62484210526327</v>
      </c>
      <c r="AE59" s="291">
        <f ca="1">'Расчет базового уровня'!AQ59</f>
        <v>767.42676794655767</v>
      </c>
      <c r="AF59" s="305">
        <f ca="1">IF($C145=0,0,MIN($B145/$C145*$D145*0.024*$R$149,AE59))</f>
        <v>346.3594105263158</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735.62589850272707</v>
      </c>
      <c r="E60" s="50"/>
      <c r="F60" s="50"/>
      <c r="G60" s="275" t="s">
        <v>1302</v>
      </c>
      <c r="H60" s="272" t="s">
        <v>837</v>
      </c>
      <c r="I60" s="276"/>
      <c r="J60" s="276">
        <f ca="1">I59-J59</f>
        <v>0</v>
      </c>
      <c r="K60" s="276"/>
      <c r="L60" s="276">
        <f ca="1">K59-L59</f>
        <v>0</v>
      </c>
      <c r="M60" s="276"/>
      <c r="N60" s="276">
        <f ca="1">M59-N59</f>
        <v>0</v>
      </c>
      <c r="O60" s="276"/>
      <c r="P60" s="276">
        <f ca="1">O59-P59</f>
        <v>83.341379481184674</v>
      </c>
      <c r="Q60" s="276"/>
      <c r="R60" s="276">
        <f ca="1">Q59-R59</f>
        <v>0</v>
      </c>
      <c r="S60" s="276"/>
      <c r="T60" s="276">
        <f ca="1">S59-T59</f>
        <v>0</v>
      </c>
      <c r="U60" s="276"/>
      <c r="V60" s="276">
        <f ca="1">U59-V59</f>
        <v>0</v>
      </c>
      <c r="W60" s="276"/>
      <c r="X60" s="276">
        <f ca="1">W59-X59</f>
        <v>0</v>
      </c>
      <c r="Y60" s="276"/>
      <c r="Z60" s="276">
        <f ca="1">Y59-Z59</f>
        <v>45.941914588328316</v>
      </c>
      <c r="AA60" s="276"/>
      <c r="AB60" s="276">
        <f ca="1">AA59-AB59</f>
        <v>99.869284521829229</v>
      </c>
      <c r="AC60" s="276"/>
      <c r="AD60" s="276">
        <f ca="1">AC59-AD59</f>
        <v>66.840733022437689</v>
      </c>
      <c r="AE60" s="276"/>
      <c r="AF60" s="276">
        <f ca="1">AE59-AF59</f>
        <v>421.06735742024188</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0.13901557298356038</v>
      </c>
      <c r="E61" s="50"/>
      <c r="F61" s="50"/>
      <c r="G61" s="275" t="s">
        <v>868</v>
      </c>
      <c r="H61" s="277" t="s">
        <v>1164</v>
      </c>
      <c r="I61" s="278"/>
      <c r="J61" s="278">
        <f ca="1">IF(I59=0,0,J60/I59)</f>
        <v>0</v>
      </c>
      <c r="K61" s="278"/>
      <c r="L61" s="278">
        <f ca="1">IF(K59=0,0,L60/K59)</f>
        <v>0</v>
      </c>
      <c r="M61" s="278"/>
      <c r="N61" s="278">
        <f ca="1">IF(M59=0,0,N60/M59)</f>
        <v>0</v>
      </c>
      <c r="O61" s="278"/>
      <c r="P61" s="278">
        <f ca="1">IF(O59=0,0,P60/O59)</f>
        <v>0.15257896626189754</v>
      </c>
      <c r="Q61" s="278"/>
      <c r="R61" s="278">
        <f ca="1">IF(Q59=0,0,R60/Q59)</f>
        <v>0</v>
      </c>
      <c r="S61" s="278"/>
      <c r="T61" s="278">
        <f>IF(S59=0,0,T60/S59)</f>
        <v>0</v>
      </c>
      <c r="U61" s="278"/>
      <c r="V61" s="278">
        <f>IF(U59=0,0,V60/U59)</f>
        <v>0</v>
      </c>
      <c r="W61" s="278"/>
      <c r="X61" s="278">
        <f>IF(W59=0,0,X60/W59)</f>
        <v>0</v>
      </c>
      <c r="Y61" s="278"/>
      <c r="Z61" s="278">
        <f ca="1">IF(Y59=0,0,Z60/Y59)</f>
        <v>0.30155440350717988</v>
      </c>
      <c r="AA61" s="278"/>
      <c r="AB61" s="278">
        <f ca="1">IF(AA59=0,0,AB60/AA59)</f>
        <v>0.17523125661216896</v>
      </c>
      <c r="AC61" s="278"/>
      <c r="AD61" s="278">
        <f ca="1">IF(AC59=0,0,AD60/AC59)</f>
        <v>0.10551596747615401</v>
      </c>
      <c r="AE61" s="278"/>
      <c r="AF61" s="278">
        <f ca="1">IF(AE59=0,0,AF60/AE59)</f>
        <v>0.54867431656953136</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387922.56874663586</v>
      </c>
      <c r="D62" s="292">
        <f ca="1">IF((D153*D154*'Ввод исходных данных'!$D$22*0.28)*D149*0.024+D192*D156+D163&gt;C62,C62,(D153*D154*'Ввод исходных данных'!$D$22*0.28)*D149*0.024+D192*D156+D163)</f>
        <v>335398.74222289928</v>
      </c>
      <c r="E62" s="50"/>
      <c r="F62" s="50"/>
      <c r="G62" s="306" t="s">
        <v>1181</v>
      </c>
      <c r="H62" s="294" t="s">
        <v>837</v>
      </c>
      <c r="I62" s="291">
        <f ca="1">'Расчет базового уровня'!J62</f>
        <v>62767.154670914075</v>
      </c>
      <c r="J62" s="296">
        <f ca="1">MIN(I62,($D$153*$D$154*'Ввод исходных данных'!$D$22*0.28)*$G$149*0.024+$G$192*$D$156+$G$163)</f>
        <v>62767.154670914075</v>
      </c>
      <c r="K62" s="291">
        <f ca="1">'Расчет базового уровня'!M62</f>
        <v>56873.406490805603</v>
      </c>
      <c r="L62" s="296">
        <f ca="1">MIN(K62,($D$153*$D$154*'Ввод исходных данных'!$D$22*0.28)*$H$149*0.024+$H$192*$D$156+$H$163)</f>
        <v>56873.406490805603</v>
      </c>
      <c r="M62" s="291">
        <f ca="1">'Расчет базового уровня'!P62</f>
        <v>57629.391571898195</v>
      </c>
      <c r="N62" s="296">
        <f ca="1">MIN(M62,($D$153*$D$154*'Ввод исходных данных'!$D$22*0.28)*$I$149*0.024+$I$192*$D$156+$I$163)</f>
        <v>57629.391571898195</v>
      </c>
      <c r="O62" s="291">
        <f ca="1">'Расчет базового уровня'!S62</f>
        <v>40042.160944210402</v>
      </c>
      <c r="P62" s="296">
        <f ca="1">MIN(O62,($D$153*$D$154*'Ввод исходных данных'!$D$22*0.28)*$J$149*0.024+$J$192*$D$156+$J$163)</f>
        <v>33932.569420450251</v>
      </c>
      <c r="Q62" s="291">
        <f ca="1">'Расчет базового уровня'!V62</f>
        <v>10624.739919513961</v>
      </c>
      <c r="R62" s="296">
        <f ca="1">MIN(Q62,($D$153*$D$154*'Ввод исходных данных'!$D$22*0.28)*$K$149*0.024+$K$192*$D$156+$K$163)</f>
        <v>10624.739919513961</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 ca="1">'Расчет базового уровня'!AH62</f>
        <v>11168.50147031897</v>
      </c>
      <c r="Z62" s="296">
        <f ca="1">MIN(Y62,($D$153*$D$154*'Ввод исходных данных'!$D$22*0.28)*$O$149*0.024+$O$192*$D$156+$O$163)</f>
        <v>7800.5906713678723</v>
      </c>
      <c r="AA62" s="291">
        <f ca="1">'Расчет базового уровня'!AK62</f>
        <v>41780.32880977387</v>
      </c>
      <c r="AB62" s="296">
        <f ca="1">MIN(AA62,($D$153*$D$154*'Ввод исходных данных'!$D$22*0.28)*$P$149*0.024+$P$192*$D$156+$P$163)</f>
        <v>34459.109290767577</v>
      </c>
      <c r="AC62" s="291">
        <f ca="1">'Расчет базового уровня'!AN62</f>
        <v>46438.107126218114</v>
      </c>
      <c r="AD62" s="296">
        <f ca="1">MIN(AC62,($D$153*$D$154*'Ввод исходных данных'!$D$22*0.28)*$Q$149*0.024+$Q$192*$D$156+$Q$163)</f>
        <v>41538.145325033925</v>
      </c>
      <c r="AE62" s="291">
        <f ca="1">'Расчет базового уровня'!AQ62</f>
        <v>56258.536944561354</v>
      </c>
      <c r="AF62" s="296">
        <f ca="1">MIN(AE62,($D$153*$D$154*'Ввод исходных данных'!$D$22*0.28)*$R$149*0.024+$R$192*$D$156+$R$163)</f>
        <v>25390.922635302424</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52523.826523736585</v>
      </c>
      <c r="E63" s="285"/>
      <c r="F63" s="50"/>
      <c r="G63" s="275" t="s">
        <v>1302</v>
      </c>
      <c r="H63" s="272" t="s">
        <v>837</v>
      </c>
      <c r="I63" s="276"/>
      <c r="J63" s="276">
        <f ca="1">I62-J62</f>
        <v>0</v>
      </c>
      <c r="K63" s="276"/>
      <c r="L63" s="276">
        <f ca="1">K62-L62</f>
        <v>0</v>
      </c>
      <c r="M63" s="276"/>
      <c r="N63" s="276">
        <f ca="1">M62-N62</f>
        <v>0</v>
      </c>
      <c r="O63" s="276"/>
      <c r="P63" s="276">
        <f ca="1">O62-P62</f>
        <v>6109.5915237601512</v>
      </c>
      <c r="Q63" s="276"/>
      <c r="R63" s="276">
        <f ca="1">Q62-R62</f>
        <v>0</v>
      </c>
      <c r="S63" s="276"/>
      <c r="T63" s="276">
        <f ca="1">S62-T62</f>
        <v>0</v>
      </c>
      <c r="U63" s="276"/>
      <c r="V63" s="276">
        <f ca="1">U62-V62</f>
        <v>0</v>
      </c>
      <c r="W63" s="276"/>
      <c r="X63" s="276">
        <f ca="1">W62-X62</f>
        <v>0</v>
      </c>
      <c r="Y63" s="276"/>
      <c r="Z63" s="276">
        <f ca="1">Y62-Z62</f>
        <v>3367.9107989510976</v>
      </c>
      <c r="AA63" s="276"/>
      <c r="AB63" s="276">
        <f ca="1">AA62-AB62</f>
        <v>7321.2195190062921</v>
      </c>
      <c r="AC63" s="276"/>
      <c r="AD63" s="276">
        <f ca="1">AC62-AD62</f>
        <v>4899.9618011841885</v>
      </c>
      <c r="AE63" s="276"/>
      <c r="AF63" s="276">
        <f ca="1">AE62-AF62</f>
        <v>30867.61430925893</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0.13539770757200134</v>
      </c>
      <c r="E64" s="50"/>
      <c r="F64" s="50"/>
      <c r="G64" s="275" t="s">
        <v>868</v>
      </c>
      <c r="H64" s="277" t="s">
        <v>1164</v>
      </c>
      <c r="I64" s="278"/>
      <c r="J64" s="278">
        <f ca="1">IF(I62=0,0,J63/I62)</f>
        <v>0</v>
      </c>
      <c r="K64" s="278"/>
      <c r="L64" s="278">
        <f ca="1">IF(K62=0,0,L63/K62)</f>
        <v>0</v>
      </c>
      <c r="M64" s="278"/>
      <c r="N64" s="278">
        <f ca="1">IF(M62=0,0,N63/M62)</f>
        <v>0</v>
      </c>
      <c r="O64" s="278"/>
      <c r="P64" s="278">
        <f ca="1">IF(O62=0,0,P63/O62)</f>
        <v>0.15257896626189757</v>
      </c>
      <c r="Q64" s="278"/>
      <c r="R64" s="278">
        <f ca="1">IF(Q62=0,0,R63/Q62)</f>
        <v>0</v>
      </c>
      <c r="S64" s="278"/>
      <c r="T64" s="278">
        <f>IF(S62=0,0,T63/S62)</f>
        <v>0</v>
      </c>
      <c r="U64" s="278"/>
      <c r="V64" s="278">
        <f>IF(U62=0,0,V63/U62)</f>
        <v>0</v>
      </c>
      <c r="W64" s="278"/>
      <c r="X64" s="278">
        <f>IF(W62=0,0,X63/W62)</f>
        <v>0</v>
      </c>
      <c r="Y64" s="278"/>
      <c r="Z64" s="278">
        <f ca="1">IF(Y62=0,0,Z63/Y62)</f>
        <v>0.30155440350717982</v>
      </c>
      <c r="AA64" s="278"/>
      <c r="AB64" s="278">
        <f ca="1">IF(AA62=0,0,AB63/AA62)</f>
        <v>0.17523125661216923</v>
      </c>
      <c r="AC64" s="278"/>
      <c r="AD64" s="278">
        <f ca="1">IF(AC62=0,0,AD63/AC62)</f>
        <v>0.10551596747615406</v>
      </c>
      <c r="AE64" s="278"/>
      <c r="AF64" s="278">
        <f ca="1">IF(AE62=0,0,AF63/AE62)</f>
        <v>0.54867431656953136</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121313.85886614441</v>
      </c>
      <c r="D65" s="292">
        <f ca="1">IF((D62+D38-D71*$D$158)*($D$160-1)&gt;C65,C65,(D62+D38-D71*$D$158)*($D$160-1))</f>
        <v>102893.49031259808</v>
      </c>
      <c r="E65" s="50"/>
      <c r="F65" s="50"/>
      <c r="G65" s="307" t="s">
        <v>1189</v>
      </c>
      <c r="H65" s="308" t="s">
        <v>837</v>
      </c>
      <c r="I65" s="291">
        <f ca="1">'Расчет базового уровня'!J65</f>
        <v>20300.327172915757</v>
      </c>
      <c r="J65" s="309">
        <f ca="1">MIN(I65,(J62+J38-J71*$D$158)*($D$160-1))</f>
        <v>20120.235463676672</v>
      </c>
      <c r="K65" s="291">
        <f ca="1">'Расчет базового уровня'!M65</f>
        <v>18302.680309849737</v>
      </c>
      <c r="L65" s="309">
        <f ca="1">MIN(K65,(L62+L38-L71*$D$158)*($D$160-1))</f>
        <v>18237.351790981636</v>
      </c>
      <c r="M65" s="291">
        <f ca="1">'Расчет базового уровня'!P65</f>
        <v>17920.732572078228</v>
      </c>
      <c r="N65" s="309">
        <f ca="1">MIN(M65,(N62+N38-N71*$D$158)*($D$160-1))</f>
        <v>17920.732572078228</v>
      </c>
      <c r="O65" s="291">
        <f ca="1">'Расчет базового уровня'!S65</f>
        <v>11579.487859909515</v>
      </c>
      <c r="P65" s="309">
        <f ca="1">MIN(O65,(P62+P38-P71*$D$158)*($D$160-1))</f>
        <v>9929.7859749451436</v>
      </c>
      <c r="Q65" s="291">
        <f ca="1">'Расчет базового уровня'!V65</f>
        <v>910.20714531417184</v>
      </c>
      <c r="R65" s="309">
        <f ca="1">MIN(Q65,(R62+R38-R71*$D$158)*($D$160-1))</f>
        <v>910.20714531417184</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 ca="1">'Расчет базового уровня'!AH65</f>
        <v>2173.5677745895846</v>
      </c>
      <c r="Z65" s="309">
        <f ca="1">MIN(Y65,(Z62+Z38-Z71*$D$158)*($D$160-1))</f>
        <v>2060.6527940153819</v>
      </c>
      <c r="AA65" s="291">
        <f ca="1">'Расчет базового уровня'!AK65</f>
        <v>12271.094960407836</v>
      </c>
      <c r="AB65" s="309">
        <f ca="1">MIN(AA65,(AB62+AB38-AB71*$D$158)*($D$160-1))</f>
        <v>10045.625775258373</v>
      </c>
      <c r="AC65" s="291">
        <f ca="1">'Расчет базового уровня'!AN65</f>
        <v>14530.279753735218</v>
      </c>
      <c r="AD65" s="309">
        <f ca="1">MIN(AC65,(AD62+AD38-AD71*$D$158)*($D$160-1))</f>
        <v>12636.550347594422</v>
      </c>
      <c r="AE65" s="291">
        <f ca="1">'Расчет базового уровня'!AQ65</f>
        <v>18043.555251809852</v>
      </c>
      <c r="AF65" s="309">
        <f ca="1">MIN(AE65,(AF62+AF38-AF71*$D$158)*($D$160-1))</f>
        <v>6818.3297924842363</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18420.36855354633</v>
      </c>
      <c r="E66" s="50"/>
      <c r="F66" s="50"/>
      <c r="G66" s="275" t="s">
        <v>1302</v>
      </c>
      <c r="H66" s="272" t="s">
        <v>837</v>
      </c>
      <c r="I66" s="276"/>
      <c r="J66" s="276">
        <f ca="1">I65-J65</f>
        <v>180.09170923908459</v>
      </c>
      <c r="K66" s="276"/>
      <c r="L66" s="276">
        <f ca="1">K65-L65</f>
        <v>65.328518868100218</v>
      </c>
      <c r="M66" s="276"/>
      <c r="N66" s="276">
        <f ca="1">M65-N65</f>
        <v>0</v>
      </c>
      <c r="O66" s="276"/>
      <c r="P66" s="276">
        <f ca="1">O65-P65</f>
        <v>1649.7018849643719</v>
      </c>
      <c r="Q66" s="276"/>
      <c r="R66" s="276">
        <f ca="1">Q65-R65</f>
        <v>0</v>
      </c>
      <c r="S66" s="276"/>
      <c r="T66" s="276">
        <f ca="1">S65-T65</f>
        <v>0</v>
      </c>
      <c r="U66" s="276"/>
      <c r="V66" s="276">
        <f ca="1">U65-V65</f>
        <v>0</v>
      </c>
      <c r="W66" s="276"/>
      <c r="X66" s="276">
        <f ca="1">W65-X65</f>
        <v>0</v>
      </c>
      <c r="Y66" s="276"/>
      <c r="Z66" s="276">
        <f ca="1">Y65-Z65</f>
        <v>112.91498057420267</v>
      </c>
      <c r="AA66" s="276"/>
      <c r="AB66" s="276">
        <f ca="1">AA65-AB65</f>
        <v>2225.4691851494626</v>
      </c>
      <c r="AC66" s="276"/>
      <c r="AD66" s="276">
        <f ca="1">AC65-AD65</f>
        <v>1893.7294061407956</v>
      </c>
      <c r="AE66" s="276"/>
      <c r="AF66" s="276">
        <f ca="1">AE65-AF65</f>
        <v>11225.225459325615</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0.15184059534262315</v>
      </c>
      <c r="E67" s="50"/>
      <c r="F67" s="50"/>
      <c r="G67" s="275" t="s">
        <v>868</v>
      </c>
      <c r="H67" s="277" t="s">
        <v>1164</v>
      </c>
      <c r="I67" s="278"/>
      <c r="J67" s="278">
        <f ca="1">IF(I65=0,0,J66/I65)</f>
        <v>8.8713697914858704E-3</v>
      </c>
      <c r="K67" s="278"/>
      <c r="L67" s="278">
        <f ca="1">IF(K65=0,0,L66/K65)</f>
        <v>3.5693416353310362E-3</v>
      </c>
      <c r="M67" s="278"/>
      <c r="N67" s="278">
        <f ca="1">IF(M65=0,0,N66/M65)</f>
        <v>0</v>
      </c>
      <c r="O67" s="278"/>
      <c r="P67" s="278">
        <f ca="1">IF(O65=0,0,P66/O65)</f>
        <v>0.14246760348322202</v>
      </c>
      <c r="Q67" s="278"/>
      <c r="R67" s="278">
        <f ca="1">IF(Q65=0,0,R66/Q65)</f>
        <v>0</v>
      </c>
      <c r="S67" s="278"/>
      <c r="T67" s="278">
        <f>IF(S65=0,0,T66/S65)</f>
        <v>0</v>
      </c>
      <c r="U67" s="278"/>
      <c r="V67" s="278">
        <f>IF(U65=0,0,V66/U65)</f>
        <v>0</v>
      </c>
      <c r="W67" s="278"/>
      <c r="X67" s="278">
        <f>IF(W65=0,0,X66/W65)</f>
        <v>0</v>
      </c>
      <c r="Y67" s="278"/>
      <c r="Z67" s="278">
        <f ca="1">IF(Y65=0,0,Z66/Y65)</f>
        <v>5.1949141818466368E-2</v>
      </c>
      <c r="AA67" s="278"/>
      <c r="AB67" s="278">
        <f ca="1">IF(AA65=0,0,AB66/AA65)</f>
        <v>0.1813586474825469</v>
      </c>
      <c r="AC67" s="278"/>
      <c r="AD67" s="278">
        <f ca="1">IF(AC65=0,0,AD66/AC65)</f>
        <v>0.13032986551095035</v>
      </c>
      <c r="AE67" s="278"/>
      <c r="AF67" s="278">
        <f ca="1">IF(AE65=0,0,AF66/AE65)</f>
        <v>0.62211827451242863</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186052.42630653948</v>
      </c>
      <c r="D68" s="310">
        <f>IF(D71*(1-$D$158)&gt;C68,C68,D71*(1-$D$158))</f>
        <v>178878.94832930228</v>
      </c>
      <c r="E68" s="50"/>
      <c r="F68" s="50"/>
      <c r="G68" s="307" t="s">
        <v>1183</v>
      </c>
      <c r="H68" s="308" t="s">
        <v>837</v>
      </c>
      <c r="I68" s="291">
        <f ca="1">'Расчет базового уровня'!J68</f>
        <v>22644.525000491882</v>
      </c>
      <c r="J68" s="311">
        <f ca="1">MIN(I68,J71*(1-$D$158))</f>
        <v>22644.525000491882</v>
      </c>
      <c r="K68" s="291">
        <f ca="1">'Расчет базового уровня'!M68</f>
        <v>21534.61891577877</v>
      </c>
      <c r="L68" s="311">
        <f ca="1">MIN(K68,L71*(1-$D$158))</f>
        <v>21534.61891577877</v>
      </c>
      <c r="M68" s="291">
        <f ca="1">'Расчет базового уровня'!P68</f>
        <v>28767.917305563573</v>
      </c>
      <c r="N68" s="311">
        <f ca="1">MIN(M68,N71*(1-$D$158))</f>
        <v>24645.543992037205</v>
      </c>
      <c r="O68" s="291">
        <f ca="1">'Расчет базового уровня'!S68</f>
        <v>29680.009403343865</v>
      </c>
      <c r="P68" s="311">
        <f ca="1">MIN(O68,P71*(1-$D$158))</f>
        <v>23850.526443906972</v>
      </c>
      <c r="Q68" s="291">
        <f ca="1">'Расчет базового уровня'!V68</f>
        <v>31900.598286439901</v>
      </c>
      <c r="R68" s="311">
        <f ca="1">MIN(Q68,R71*(1-$D$158))</f>
        <v>11925.263221953486</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 ca="1">'Расчет базового уровня'!AH68</f>
        <v>20013.48506850985</v>
      </c>
      <c r="Z68" s="311">
        <f ca="1">MIN(Y68,Z71*(1-$D$158))</f>
        <v>7950.1754813023235</v>
      </c>
      <c r="AA68" s="291">
        <f ca="1">'Расчет базового уровня'!AK68</f>
        <v>28868.821731789831</v>
      </c>
      <c r="AB68" s="311">
        <f ca="1">MIN(AA68,AB71*(1-$D$158))</f>
        <v>24645.543992037205</v>
      </c>
      <c r="AC68" s="291">
        <f ca="1">'Расчет базового уровня'!AN68</f>
        <v>22185.285157399325</v>
      </c>
      <c r="AD68" s="311">
        <f ca="1">MIN(AC68,AD71*(1-$D$158))</f>
        <v>22185.285157399325</v>
      </c>
      <c r="AE68" s="291">
        <f ca="1">'Расчет базового уровня'!AQ68</f>
        <v>21982.372744966531</v>
      </c>
      <c r="AF68" s="311">
        <f ca="1">MIN(AE68,AF71*(1-$D$158))</f>
        <v>21982.372744966531</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7173.4779772371985</v>
      </c>
      <c r="E69" s="50"/>
      <c r="F69" s="50"/>
      <c r="G69" s="275" t="s">
        <v>1302</v>
      </c>
      <c r="H69" s="272" t="s">
        <v>837</v>
      </c>
      <c r="I69" s="276"/>
      <c r="J69" s="276">
        <f ca="1">I68-J68</f>
        <v>0</v>
      </c>
      <c r="K69" s="276"/>
      <c r="L69" s="276">
        <f ca="1">K68-L68</f>
        <v>0</v>
      </c>
      <c r="M69" s="276"/>
      <c r="N69" s="276">
        <f ca="1">M68-N68</f>
        <v>4122.3733135263683</v>
      </c>
      <c r="O69" s="276"/>
      <c r="P69" s="276">
        <f ca="1">O68-P68</f>
        <v>5829.482959436893</v>
      </c>
      <c r="Q69" s="276"/>
      <c r="R69" s="276">
        <f ca="1">Q68-R68</f>
        <v>19975.335064486415</v>
      </c>
      <c r="S69" s="276"/>
      <c r="T69" s="276">
        <f>S68-T68</f>
        <v>0</v>
      </c>
      <c r="U69" s="276"/>
      <c r="V69" s="276">
        <f>U68-V68</f>
        <v>0</v>
      </c>
      <c r="W69" s="276"/>
      <c r="X69" s="276">
        <f>W68-X68</f>
        <v>0</v>
      </c>
      <c r="Y69" s="276"/>
      <c r="Z69" s="276">
        <f ca="1">Y68-Z68</f>
        <v>12063.309587207526</v>
      </c>
      <c r="AA69" s="276"/>
      <c r="AB69" s="276">
        <f ca="1">AA68-AB68</f>
        <v>4223.2777397526261</v>
      </c>
      <c r="AC69" s="276"/>
      <c r="AD69" s="276">
        <f ca="1">AC68-AD68</f>
        <v>0</v>
      </c>
      <c r="AE69" s="276"/>
      <c r="AF69" s="276">
        <f ca="1">AE68-AF68</f>
        <v>0</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3.8556218371579826E-2</v>
      </c>
      <c r="E70" s="50"/>
      <c r="F70" s="50"/>
      <c r="G70" s="275" t="s">
        <v>868</v>
      </c>
      <c r="H70" s="277" t="s">
        <v>1164</v>
      </c>
      <c r="I70" s="278"/>
      <c r="J70" s="278">
        <f ca="1">IF(I68=0,0,J69/I68)</f>
        <v>0</v>
      </c>
      <c r="K70" s="278"/>
      <c r="L70" s="278">
        <f ca="1">IF(K68=0,0,L69/K68)</f>
        <v>0</v>
      </c>
      <c r="M70" s="278"/>
      <c r="N70" s="278">
        <f ca="1">IF(M68=0,0,N69/M68)</f>
        <v>0.14329759327864591</v>
      </c>
      <c r="O70" s="278"/>
      <c r="P70" s="278">
        <f ca="1">IF(O68=0,0,P69/O68)</f>
        <v>0.19641108869662693</v>
      </c>
      <c r="Q70" s="278"/>
      <c r="R70" s="278">
        <f ca="1">IF(Q68=0,0,R69/Q68)</f>
        <v>0.6261743082410276</v>
      </c>
      <c r="S70" s="278"/>
      <c r="T70" s="278">
        <f>IF(S68=0,0,T69/S68)</f>
        <v>0</v>
      </c>
      <c r="U70" s="278"/>
      <c r="V70" s="278">
        <f>IF(U68=0,0,V69/U68)</f>
        <v>0</v>
      </c>
      <c r="W70" s="278"/>
      <c r="X70" s="278">
        <f>IF(W68=0,0,X69/W68)</f>
        <v>0</v>
      </c>
      <c r="Y70" s="278"/>
      <c r="Z70" s="278">
        <f ca="1">IF(Y68=0,0,Z69/Y68)</f>
        <v>0.60275906699470849</v>
      </c>
      <c r="AA70" s="278"/>
      <c r="AB70" s="278">
        <f ca="1">IF(AA68=0,0,AB69/AA68)</f>
        <v>0.14629200245821006</v>
      </c>
      <c r="AC70" s="278"/>
      <c r="AD70" s="278">
        <f ca="1">IF(AC68=0,0,AD69/AC68)</f>
        <v>0</v>
      </c>
      <c r="AE70" s="278"/>
      <c r="AF70" s="278">
        <f ca="1">IF(AE68=0,0,AF69/AE68)</f>
        <v>0</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357757.89665860456</v>
      </c>
      <c r="D71" s="314">
        <f>C71</f>
        <v>357757.89665860456</v>
      </c>
      <c r="E71" s="50"/>
      <c r="F71" s="50"/>
      <c r="G71" s="306" t="s">
        <v>1185</v>
      </c>
      <c r="H71" s="308" t="s">
        <v>837</v>
      </c>
      <c r="I71" s="291">
        <f ca="1">'Расчет базового уровня'!J71</f>
        <v>49291.087984074409</v>
      </c>
      <c r="J71" s="315">
        <f ca="1">I71</f>
        <v>49291.087984074409</v>
      </c>
      <c r="K71" s="291">
        <f ca="1">'Расчет базового уровня'!M71</f>
        <v>44520.982695293016</v>
      </c>
      <c r="L71" s="315">
        <f ca="1">K71</f>
        <v>44520.982695293016</v>
      </c>
      <c r="M71" s="291">
        <f ca="1">'Расчет базового уровня'!P71</f>
        <v>49291.087984074409</v>
      </c>
      <c r="N71" s="315">
        <f ca="1">M71</f>
        <v>49291.087984074409</v>
      </c>
      <c r="O71" s="291">
        <f ca="1">'Расчет базового уровня'!S71</f>
        <v>47701.052887813945</v>
      </c>
      <c r="P71" s="316">
        <f ca="1">O71</f>
        <v>47701.052887813945</v>
      </c>
      <c r="Q71" s="291">
        <f ca="1">'Расчет базового уровня'!V71</f>
        <v>23850.526443906972</v>
      </c>
      <c r="R71" s="303">
        <f ca="1">Q71</f>
        <v>23850.526443906972</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 ca="1">'Расчет базового уровня'!AH71</f>
        <v>15900.350962604647</v>
      </c>
      <c r="Z71" s="317">
        <f ca="1">Y71</f>
        <v>15900.350962604647</v>
      </c>
      <c r="AA71" s="291">
        <f ca="1">'Расчет базового уровня'!AK71</f>
        <v>49291.087984074409</v>
      </c>
      <c r="AB71" s="315">
        <f ca="1">AA71</f>
        <v>49291.087984074409</v>
      </c>
      <c r="AC71" s="291">
        <f ca="1">'Расчет базового уровня'!AN71</f>
        <v>47701.052887813945</v>
      </c>
      <c r="AD71" s="315">
        <f ca="1">AC71</f>
        <v>47701.052887813945</v>
      </c>
      <c r="AE71" s="291">
        <f ca="1">'Расчет базового уровня'!AQ71</f>
        <v>49291.087984074409</v>
      </c>
      <c r="AF71" s="319">
        <f ca="1">AE71</f>
        <v>49291.087984074409</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307.67179112639997</v>
      </c>
      <c r="D72" s="323">
        <f>C72</f>
        <v>307.67179112639997</v>
      </c>
      <c r="E72" s="50"/>
      <c r="F72" s="50"/>
      <c r="G72" s="324" t="s">
        <v>868</v>
      </c>
      <c r="H72" s="325" t="s">
        <v>1167</v>
      </c>
      <c r="I72" s="326"/>
      <c r="J72" s="327">
        <f ca="1">0.86*J71/1000</f>
        <v>42.39033566630399</v>
      </c>
      <c r="K72" s="326"/>
      <c r="L72" s="327">
        <f ca="1">0.86*L71/1000</f>
        <v>38.288045117951995</v>
      </c>
      <c r="M72" s="326"/>
      <c r="N72" s="328">
        <f ca="1">0.86*N71/1000</f>
        <v>42.39033566630399</v>
      </c>
      <c r="O72" s="326"/>
      <c r="P72" s="329">
        <f ca="1">0.86*P71/1000</f>
        <v>41.022905483519992</v>
      </c>
      <c r="Q72" s="326"/>
      <c r="R72" s="330">
        <f ca="1">0.86*R71/1000</f>
        <v>20.511452741759996</v>
      </c>
      <c r="S72" s="326"/>
      <c r="T72" s="331">
        <f>0.86*T71/1000</f>
        <v>0</v>
      </c>
      <c r="U72" s="326"/>
      <c r="V72" s="329">
        <f>0.86*V71/1000</f>
        <v>0</v>
      </c>
      <c r="W72" s="326"/>
      <c r="X72" s="332">
        <f>0.86*X71/1000</f>
        <v>0</v>
      </c>
      <c r="Y72" s="326"/>
      <c r="Z72" s="332">
        <f ca="1">0.86*Z71/1000</f>
        <v>13.674301827839995</v>
      </c>
      <c r="AA72" s="326"/>
      <c r="AB72" s="331">
        <f ca="1">0.86*AB71/1000</f>
        <v>42.39033566630399</v>
      </c>
      <c r="AC72" s="326"/>
      <c r="AD72" s="331">
        <f ca="1">0.86*AD71/1000</f>
        <v>41.022905483519992</v>
      </c>
      <c r="AE72" s="326"/>
      <c r="AF72" s="333">
        <f ca="1">0.86*AF71/1000</f>
        <v>42.39033566630399</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196.08418868373403</v>
      </c>
      <c r="D76" s="355">
        <f ca="1">D35/('Ввод исходных данных'!$G$56+'Ввод исходных данных'!$D$23)</f>
        <v>164.70235574284098</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0.16863240226801124</v>
      </c>
      <c r="D77" s="361">
        <f ca="1">D76*0.86/1000</f>
        <v>0.14164402593884323</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986741.20957971399</v>
      </c>
      <c r="B80" s="370">
        <f ca="1">D62</f>
        <v>335398.74222289928</v>
      </c>
      <c r="C80" s="370">
        <f ca="1">D65</f>
        <v>102893.49031259808</v>
      </c>
      <c r="D80" s="371">
        <f>D68</f>
        <v>178878.94832930228</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92" t="s">
        <v>1193</v>
      </c>
      <c r="B82" s="2492"/>
      <c r="C82" s="2492"/>
      <c r="D82" s="2492"/>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3" t="s">
        <v>829</v>
      </c>
      <c r="B83" s="2505" t="s">
        <v>1157</v>
      </c>
      <c r="C83" s="2509" t="s">
        <v>1301</v>
      </c>
      <c r="D83" s="2507" t="s">
        <v>1357</v>
      </c>
      <c r="E83" s="50"/>
      <c r="F83" s="50"/>
      <c r="G83" s="2515" t="s">
        <v>829</v>
      </c>
      <c r="H83" s="2506" t="s">
        <v>1157</v>
      </c>
      <c r="I83" s="2516" t="s">
        <v>488</v>
      </c>
      <c r="J83" s="2517"/>
      <c r="K83" s="2516" t="s">
        <v>489</v>
      </c>
      <c r="L83" s="2517"/>
      <c r="M83" s="2516" t="s">
        <v>490</v>
      </c>
      <c r="N83" s="2517"/>
      <c r="O83" s="2516" t="s">
        <v>491</v>
      </c>
      <c r="P83" s="2517"/>
      <c r="Q83" s="2516" t="s">
        <v>800</v>
      </c>
      <c r="R83" s="2517"/>
      <c r="S83" s="2516" t="s">
        <v>801</v>
      </c>
      <c r="T83" s="2517"/>
      <c r="U83" s="2516" t="s">
        <v>802</v>
      </c>
      <c r="V83" s="2517"/>
      <c r="W83" s="2516" t="s">
        <v>803</v>
      </c>
      <c r="X83" s="2517"/>
      <c r="Y83" s="2516" t="s">
        <v>804</v>
      </c>
      <c r="Z83" s="2517"/>
      <c r="AA83" s="2516" t="s">
        <v>482</v>
      </c>
      <c r="AB83" s="2517"/>
      <c r="AC83" s="2516" t="s">
        <v>486</v>
      </c>
      <c r="AD83" s="2517"/>
      <c r="AE83" s="2516" t="s">
        <v>487</v>
      </c>
      <c r="AF83" s="2517"/>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4"/>
      <c r="B84" s="2506"/>
      <c r="C84" s="2500"/>
      <c r="D84" s="2508"/>
      <c r="E84" s="50"/>
      <c r="F84" s="50"/>
      <c r="G84" s="2515"/>
      <c r="H84" s="2506"/>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'Расчет базового уровня'!D85</f>
        <v>749611.64999999991</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749611.64999999991</v>
      </c>
      <c r="E85" s="285"/>
      <c r="F85" s="381"/>
      <c r="G85" s="382" t="s">
        <v>1196</v>
      </c>
      <c r="H85" s="378" t="s">
        <v>837</v>
      </c>
      <c r="I85" s="383">
        <f>'Расчет базового уровня'!J85</f>
        <v>71512.87</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71512.87</v>
      </c>
      <c r="K85" s="383">
        <f>'Расчет базового уровня'!L85</f>
        <v>64465.09</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64465.089999999989</v>
      </c>
      <c r="M85" s="383">
        <f>'Расчет базового уровня'!N85</f>
        <v>81689.119999999995</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81689.119999999995</v>
      </c>
      <c r="O85" s="383">
        <f>'Расчет базового уровня'!P85</f>
        <v>73292.260000000009</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73292.260000000009</v>
      </c>
      <c r="Q85" s="383">
        <f>'Расчет базового уровня'!R85</f>
        <v>72920.100000000006</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72920.100000000006</v>
      </c>
      <c r="S85" s="383">
        <f>'Расчет базового уровня'!T85</f>
        <v>44542.899999999994</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44542.899999999994</v>
      </c>
      <c r="U85" s="383">
        <f>'Расчет базового уровня'!V85</f>
        <v>33238.54</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33238.54</v>
      </c>
      <c r="W85" s="383">
        <f>'Расчет базового уровня'!X85</f>
        <v>31226.550000000003</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31226.55</v>
      </c>
      <c r="Y85" s="383">
        <f>'Расчет базового уровня'!Z85</f>
        <v>70652.25</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70652.25</v>
      </c>
      <c r="AA85" s="383">
        <f>'Расчет базового уровня'!AB85</f>
        <v>69431.100000000006</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69431.100000000006</v>
      </c>
      <c r="AC85" s="383">
        <f>'Расчет базового уровня'!AD85</f>
        <v>67058.58</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67058.58</v>
      </c>
      <c r="AE85" s="383">
        <f>'Расчет базового уровня'!AF85</f>
        <v>69582.289999999994</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69582.289999999994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0</v>
      </c>
      <c r="E86" s="50">
        <f ca="1">D90*1.163*(списки!C59-E175)*(1+IF('Список мероприятий'!$AB$40=1,D176,'Расчет базового уровня'!$D$178))+'Ввод исходных данных'!$E$248*1.163*списки!$C$63</f>
        <v>609460.77165361959</v>
      </c>
      <c r="F86" s="285"/>
      <c r="G86" s="385" t="s">
        <v>1302</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0</v>
      </c>
      <c r="E87" s="285">
        <f>C85*D90/C90*(1+IF('Список мероприятий'!$AB$40=1,D176,'Расчет базового уровня'!$D$178))/(1+'Расчет базового уровня'!$D$178)+D180/0.86*1000</f>
        <v>749611.64999999991</v>
      </c>
      <c r="F87" s="50"/>
      <c r="G87" s="385" t="s">
        <v>868</v>
      </c>
      <c r="H87" s="378" t="s">
        <v>1164</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3156.35</v>
      </c>
      <c r="D90" s="236">
        <f>C90*IF(AND('Система ГВС'!$F$17=0,'Список мероприятий'!$AB$41=1),0.9,1)</f>
        <v>3156.35</v>
      </c>
      <c r="E90" s="50"/>
      <c r="F90" s="50"/>
      <c r="G90" s="393" t="s">
        <v>1202</v>
      </c>
      <c r="H90" s="378" t="s">
        <v>1200</v>
      </c>
      <c r="I90" s="383">
        <f>'Расчет базового уровня'!J90</f>
        <v>307.52</v>
      </c>
      <c r="J90" s="236">
        <f>I90*IF(AND('Система ГВС'!$F$17=0,'Список мероприятий'!$AB$41=1),0.9,1)</f>
        <v>307.52</v>
      </c>
      <c r="K90" s="383">
        <f>'Расчет базового уровня'!L90</f>
        <v>261.94</v>
      </c>
      <c r="L90" s="236">
        <f>K90*IF(AND('Система ГВС'!$F$17=0,'Список мероприятий'!$AB$41=1),0.9,1)</f>
        <v>261.94</v>
      </c>
      <c r="M90" s="383">
        <f>'Расчет базового уровня'!N90</f>
        <v>362.03</v>
      </c>
      <c r="N90" s="236">
        <f>M90*IF(AND('Система ГВС'!$F$17=0,'Список мероприятий'!$AB$41=1),0.9,1)</f>
        <v>362.03</v>
      </c>
      <c r="O90" s="383">
        <f>'Расчет базового уровня'!P90</f>
        <v>345.65</v>
      </c>
      <c r="P90" s="236">
        <f>O90*IF(AND('Система ГВС'!$F$17=0,'Список мероприятий'!$AB$41=1),0.9,1)</f>
        <v>345.65</v>
      </c>
      <c r="Q90" s="383">
        <f>'Расчет базового уровня'!R90</f>
        <v>272.89</v>
      </c>
      <c r="R90" s="236">
        <f>Q90*IF(AND('Система ГВС'!$F$17=0,'Список мероприятий'!$AB$41=1),0.9,1)</f>
        <v>272.89</v>
      </c>
      <c r="S90" s="383">
        <f>'Расчет базового уровня'!T90</f>
        <v>166.56</v>
      </c>
      <c r="T90" s="236">
        <f>S90*IF(AND('Система ГВС'!$F$17=0,'Список мероприятий'!$AB$41=1),0.9,1)</f>
        <v>166.56</v>
      </c>
      <c r="U90" s="383">
        <f>'Расчет базового уровня'!V90</f>
        <v>120.38</v>
      </c>
      <c r="V90" s="236">
        <f>U90*IF(AND('Система ГВС'!$F$17=0,'Список мероприятий'!$AB$41=1),0.9,1)</f>
        <v>120.38</v>
      </c>
      <c r="W90" s="383">
        <f>'Расчет базового уровня'!X90</f>
        <v>126.81</v>
      </c>
      <c r="X90" s="236">
        <f>W90*IF(AND('Система ГВС'!$F$17=0,'Список мероприятий'!$AB$41=1),0.9,1)</f>
        <v>126.81</v>
      </c>
      <c r="Y90" s="383">
        <f>'Расчет базового уровня'!Z90</f>
        <v>299.12</v>
      </c>
      <c r="Z90" s="236">
        <f>Y90*IF(AND('Система ГВС'!$F$17=0,'Список мероприятий'!$AB$41=1),0.9,1)</f>
        <v>299.12</v>
      </c>
      <c r="AA90" s="383">
        <f>'Расчет базового уровня'!AB90</f>
        <v>306.26</v>
      </c>
      <c r="AB90" s="236">
        <f>AA90*IF(AND('Система ГВС'!$F$17=0,'Список мероприятий'!$AB$41=1),0.9,1)</f>
        <v>306.26</v>
      </c>
      <c r="AC90" s="383">
        <f>'Расчет базового уровня'!AD90</f>
        <v>281.98</v>
      </c>
      <c r="AD90" s="236">
        <f>AC90*IF(AND('Система ГВС'!$F$17=0,'Список мероприятий'!$AB$41=1),0.9,1)</f>
        <v>281.98</v>
      </c>
      <c r="AE90" s="383">
        <f>'Расчет базового уровня'!AF90</f>
        <v>305.20999999999998</v>
      </c>
      <c r="AF90" s="236">
        <f>AE90*IF(AND('Система ГВС'!$F$17=0,'Список мероприятий'!$AB$41=1),0.9,1)</f>
        <v>305.20999999999998</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'Расчет базового уровня'!D93</f>
        <v>99.075038659282839</v>
      </c>
      <c r="D93" s="395">
        <f ca="1">D85/('Ввод исходных данных'!$G$56+'Ввод исходных данных'!$D$23)</f>
        <v>99.075038659282839</v>
      </c>
      <c r="E93" s="50"/>
      <c r="F93" s="50"/>
      <c r="G93" s="50"/>
      <c r="H93" s="50"/>
      <c r="I93" s="50">
        <f ca="1">IF(G148&gt;14,1,0)</f>
        <v>1</v>
      </c>
      <c r="J93" s="50"/>
      <c r="K93" s="50">
        <f ca="1">IF(H148&gt;14,1,0)</f>
        <v>1</v>
      </c>
      <c r="L93" s="50"/>
      <c r="M93" s="50">
        <f ca="1">IF(I148&gt;14,1,0)</f>
        <v>1</v>
      </c>
      <c r="O93" s="50">
        <f ca="1">IF(J148&gt;14,1,0)</f>
        <v>1</v>
      </c>
      <c r="Q93" s="50">
        <f ca="1">IF(K148&gt;14,1,0)</f>
        <v>1</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7" t="s">
        <v>1169</v>
      </c>
      <c r="B97" s="2487"/>
      <c r="C97" s="2487"/>
      <c r="D97" s="2487"/>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510" t="s">
        <v>829</v>
      </c>
      <c r="B98" s="2505" t="s">
        <v>1157</v>
      </c>
      <c r="C98" s="2514" t="s">
        <v>1301</v>
      </c>
      <c r="D98" s="2512" t="s">
        <v>1357</v>
      </c>
      <c r="E98" s="50"/>
      <c r="F98" s="50"/>
      <c r="G98" s="2510" t="s">
        <v>829</v>
      </c>
      <c r="H98" s="2505" t="s">
        <v>1157</v>
      </c>
      <c r="I98" s="2505" t="s">
        <v>488</v>
      </c>
      <c r="J98" s="2505"/>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11"/>
      <c r="B99" s="2506"/>
      <c r="C99" s="2515"/>
      <c r="D99" s="2513"/>
      <c r="E99" s="50"/>
      <c r="F99" s="50"/>
      <c r="G99" s="2511"/>
      <c r="H99" s="2506"/>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16816</v>
      </c>
      <c r="D100" s="409">
        <f ca="1">D102+D106+D108+D113</f>
        <v>18476.182966415188</v>
      </c>
      <c r="E100" s="285"/>
      <c r="F100" s="50"/>
      <c r="G100" s="408" t="s">
        <v>1208</v>
      </c>
      <c r="H100" s="378" t="s">
        <v>837</v>
      </c>
      <c r="I100" s="386">
        <f>'Расчет базового уровня'!J100</f>
        <v>2111.9999999999995</v>
      </c>
      <c r="J100" s="410">
        <f ca="1">J102+J106+J108+J113</f>
        <v>1723.3068008358</v>
      </c>
      <c r="K100" s="386">
        <f>'Расчет базового уровня'!L100</f>
        <v>2001.9999999999998</v>
      </c>
      <c r="L100" s="410">
        <f ca="1">L102+L106+L108+L113</f>
        <v>1694.6253443188086</v>
      </c>
      <c r="M100" s="386">
        <f>'Расчет базового уровня'!N100</f>
        <v>1666.9999999999998</v>
      </c>
      <c r="N100" s="410">
        <f ca="1">N102+N106+N108+N113</f>
        <v>1695.9757546495171</v>
      </c>
      <c r="O100" s="386">
        <f>'Расчет базового уровня'!P100</f>
        <v>1432</v>
      </c>
      <c r="P100" s="410">
        <f ca="1">P102+P106+P108+P113</f>
        <v>1561.5500922912508</v>
      </c>
      <c r="Q100" s="386">
        <f>'Расчет базового уровня'!R100</f>
        <v>1274</v>
      </c>
      <c r="R100" s="410">
        <f ca="1">R102+R106+R108+R113</f>
        <v>1442.6315328882379</v>
      </c>
      <c r="S100" s="386">
        <f>'Расчет базового уровня'!T100</f>
        <v>1265</v>
      </c>
      <c r="T100" s="410">
        <f ca="1">T102+T106+T108+T113</f>
        <v>1401.3333333333333</v>
      </c>
      <c r="U100" s="386">
        <f>'Расчет базового уровня'!V100</f>
        <v>1142.9999999999998</v>
      </c>
      <c r="V100" s="411">
        <f ca="1">V102+V106+V108+V113</f>
        <v>1401.3333333333333</v>
      </c>
      <c r="W100" s="386">
        <f>'Расчет базового уровня'!X100</f>
        <v>1130.9999999999998</v>
      </c>
      <c r="X100" s="410">
        <f ca="1">X102+X106+X108+X113</f>
        <v>1401.3333333333333</v>
      </c>
      <c r="Y100" s="386">
        <f>'Расчет базового уровня'!Z100</f>
        <v>1117</v>
      </c>
      <c r="Z100" s="410">
        <f ca="1">Z102+Z106+Z108+Z113</f>
        <v>1434.5818960745403</v>
      </c>
      <c r="AA100" s="386">
        <f>'Расчет базового уровня'!AB100</f>
        <v>1121</v>
      </c>
      <c r="AB100" s="412">
        <f ca="1">AB102+AB106+AB108+AB113</f>
        <v>1563.4191635291754</v>
      </c>
      <c r="AC100" s="386">
        <f>'Расчет базового уровня'!AD100</f>
        <v>1282</v>
      </c>
      <c r="AD100" s="386">
        <f ca="1">AD102+AD106+AD108+AD113</f>
        <v>1603.0051341693106</v>
      </c>
      <c r="AE100" s="386">
        <f>'Расчет базового уровня'!AF100</f>
        <v>1269.9999999999998</v>
      </c>
      <c r="AF100" s="413">
        <f ca="1">AF102+AF106+AF108+AF113</f>
        <v>1507.7988563127856</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9.8726389534680603E-2</v>
      </c>
      <c r="E101" s="50"/>
      <c r="F101" s="50"/>
      <c r="G101" s="414" t="s">
        <v>1303</v>
      </c>
      <c r="H101" s="378" t="s">
        <v>1164</v>
      </c>
      <c r="I101" s="390"/>
      <c r="J101" s="387">
        <f ca="1">IF(I100=0,0,J100/I100-1)</f>
        <v>-0.18404034051335205</v>
      </c>
      <c r="K101" s="390"/>
      <c r="L101" s="387">
        <f ca="1">IF(K100=0,0,L100/K100-1)</f>
        <v>-0.15353379404654899</v>
      </c>
      <c r="M101" s="390"/>
      <c r="N101" s="387">
        <f ca="1">IF(M100=0,0,N100/M100-1)</f>
        <v>1.7381976394431398E-2</v>
      </c>
      <c r="O101" s="390"/>
      <c r="P101" s="387">
        <f ca="1">IF(O100=0,0,P100/O100-1)</f>
        <v>9.0467941544169594E-2</v>
      </c>
      <c r="Q101" s="390"/>
      <c r="R101" s="387">
        <f ca="1">IF(Q100=0,0,R100/Q100-1)</f>
        <v>0.13236384057161521</v>
      </c>
      <c r="S101" s="390"/>
      <c r="T101" s="387">
        <f ca="1">IF(S100=0,0,T100/S100-1)</f>
        <v>0.10777338603425557</v>
      </c>
      <c r="U101" s="390"/>
      <c r="V101" s="387">
        <f ca="1">IF(U100=0,0,V100/U100-1)</f>
        <v>0.22601341498979322</v>
      </c>
      <c r="W101" s="390"/>
      <c r="X101" s="387">
        <f ca="1">IF(W100=0,0,X100/W100-1)</f>
        <v>0.23902151488358414</v>
      </c>
      <c r="Y101" s="390"/>
      <c r="Z101" s="387">
        <f ca="1">IF(Y100=0,0,Z100/Y100-1)</f>
        <v>0.28431682728248897</v>
      </c>
      <c r="AA101" s="390"/>
      <c r="AB101" s="387">
        <f ca="1">IF(AA100=0,0,AB100/AA100-1)</f>
        <v>0.39466473106973732</v>
      </c>
      <c r="AC101" s="390"/>
      <c r="AD101" s="387">
        <f ca="1">IF(AC100=0,0,AD100/AC100-1)</f>
        <v>0.25039402041287873</v>
      </c>
      <c r="AE101" s="390"/>
      <c r="AF101" s="415">
        <f ca="1">IF(AE100=0,0,AF100/AE100-1)</f>
        <v>0.18724319394707556</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998.1</v>
      </c>
      <c r="D102" s="1791">
        <f>D103+D104</f>
        <v>998.1</v>
      </c>
      <c r="E102" s="417"/>
      <c r="F102" s="50"/>
      <c r="G102" s="416" t="s">
        <v>1209</v>
      </c>
      <c r="H102" s="378" t="s">
        <v>837</v>
      </c>
      <c r="I102" s="386">
        <f>'Расчет базового уровня'!J102</f>
        <v>125.35561861079798</v>
      </c>
      <c r="J102" s="386">
        <f>$D$102/12</f>
        <v>83.174999999999997</v>
      </c>
      <c r="K102" s="386">
        <f>'Расчет базового уровня'!L102</f>
        <v>118.8266801414856</v>
      </c>
      <c r="L102" s="386">
        <f>$D$102/12</f>
        <v>83.174999999999997</v>
      </c>
      <c r="M102" s="386">
        <f>'Расчет базового уровня'!N102</f>
        <v>98.943094803125106</v>
      </c>
      <c r="N102" s="386">
        <f>$D$102/12</f>
        <v>83.174999999999997</v>
      </c>
      <c r="O102" s="386">
        <f>'Расчет базового уровня'!P102</f>
        <v>84.994908073230462</v>
      </c>
      <c r="P102" s="386">
        <f>$D$102/12</f>
        <v>83.174999999999997</v>
      </c>
      <c r="Q102" s="386">
        <f>'Расчет базового уровня'!R102</f>
        <v>75.616978271854464</v>
      </c>
      <c r="R102" s="386">
        <f>$D$102/12</f>
        <v>83.174999999999997</v>
      </c>
      <c r="S102" s="386">
        <f>'Расчет базового уровня'!T102</f>
        <v>75.082792397092547</v>
      </c>
      <c r="T102" s="386">
        <f>$D$102/12</f>
        <v>83.174999999999997</v>
      </c>
      <c r="U102" s="386">
        <f>'Расчет базового уровня'!V102</f>
        <v>67.841606094764245</v>
      </c>
      <c r="V102" s="412">
        <f>$D$102/12</f>
        <v>83.174999999999997</v>
      </c>
      <c r="W102" s="386">
        <f>'Расчет базового уровня'!X102</f>
        <v>67.129358261748351</v>
      </c>
      <c r="X102" s="386">
        <f>$D$102/12</f>
        <v>83.174999999999997</v>
      </c>
      <c r="Y102" s="386">
        <f>'Расчет базового уровня'!Z102</f>
        <v>66.298402456563139</v>
      </c>
      <c r="Z102" s="386">
        <f>$D$102/12</f>
        <v>83.174999999999997</v>
      </c>
      <c r="AA102" s="386">
        <f>'Расчет базового уровня'!AB102</f>
        <v>66.535818400901746</v>
      </c>
      <c r="AB102" s="412">
        <f>$D$102/12</f>
        <v>83.174999999999997</v>
      </c>
      <c r="AC102" s="386">
        <f>'Расчет базового уровня'!AD102</f>
        <v>76.091810160531736</v>
      </c>
      <c r="AD102" s="386">
        <f>$D$102/12</f>
        <v>83.174999999999997</v>
      </c>
      <c r="AE102" s="386">
        <f>'Расчет базового уровня'!AF102</f>
        <v>75.379562327515828</v>
      </c>
      <c r="AF102" s="413">
        <f>$D$102/12</f>
        <v>83.174999999999997</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2424</v>
      </c>
      <c r="B103" s="378" t="s">
        <v>837</v>
      </c>
      <c r="C103" s="386">
        <f>'Расчет базового уровня'!D104</f>
        <v>867.3730844793713</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867.3730844793713</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2425</v>
      </c>
      <c r="B104" s="378" t="s">
        <v>837</v>
      </c>
      <c r="C104" s="386">
        <f>'Расчет базового уровня'!D105</f>
        <v>130.72691552062869</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130.72691552062869</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0</v>
      </c>
      <c r="E105" s="50"/>
      <c r="F105" s="50"/>
      <c r="G105" s="414" t="s">
        <v>1303</v>
      </c>
      <c r="H105" s="378" t="s">
        <v>1164</v>
      </c>
      <c r="I105" s="390"/>
      <c r="J105" s="387">
        <f>IF(I102=0,0,J102/I102-1)</f>
        <v>-0.33648765869649333</v>
      </c>
      <c r="K105" s="390"/>
      <c r="L105" s="387">
        <f>IF(K102=0,0,L102/K102-1)</f>
        <v>-0.30003093664685021</v>
      </c>
      <c r="M105" s="390"/>
      <c r="N105" s="387">
        <f>IF(M102=0,0,N102/M102-1)</f>
        <v>-0.15936528804258787</v>
      </c>
      <c r="O105" s="390"/>
      <c r="P105" s="387">
        <f>IF(O102=0,0,P102/O102-1)</f>
        <v>-2.1411965898738949E-2</v>
      </c>
      <c r="Q105" s="390"/>
      <c r="R105" s="387">
        <f>IF(Q102=0,0,R102/Q102-1)</f>
        <v>9.9951385269235526E-2</v>
      </c>
      <c r="S105" s="390"/>
      <c r="T105" s="387">
        <f>IF(S102=0,0,T102/S102-1)</f>
        <v>0.10777712635020231</v>
      </c>
      <c r="U105" s="390"/>
      <c r="V105" s="387">
        <f>IF(U102=0,0,V102/U102-1)</f>
        <v>0.22601755453456351</v>
      </c>
      <c r="W105" s="390"/>
      <c r="X105" s="387">
        <f>IF(W102=0,0,X102/W102-1)</f>
        <v>0.2390256983492538</v>
      </c>
      <c r="Y105" s="390"/>
      <c r="Z105" s="387">
        <f>IF(Y102=0,0,Z102/Y102-1)</f>
        <v>0.254555116233667</v>
      </c>
      <c r="AA105" s="390"/>
      <c r="AB105" s="387">
        <f>IF(AA102=0,0,AB102/AA102-1)</f>
        <v>0.25007855917306565</v>
      </c>
      <c r="AC105" s="390"/>
      <c r="AD105" s="387">
        <f>IF(AC102=0,0,AD102/AC102-1)</f>
        <v>9.3087414066307161E-2</v>
      </c>
      <c r="AE105" s="390"/>
      <c r="AF105" s="415">
        <f>IF(AE102=0,0,AF102/AE102-1)</f>
        <v>0.1034157990811071</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15817.9</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15817.9</v>
      </c>
      <c r="E106" s="285"/>
      <c r="F106" s="418"/>
      <c r="G106" s="416" t="s">
        <v>1216</v>
      </c>
      <c r="H106" s="378" t="s">
        <v>837</v>
      </c>
      <c r="I106" s="386">
        <f>'Расчет базового уровня'!J106</f>
        <v>1986.644381389202</v>
      </c>
      <c r="J106" s="386">
        <f>D106/12</f>
        <v>1318.1583333333333</v>
      </c>
      <c r="K106" s="386">
        <f>'Расчет базового уровня'!L106</f>
        <v>1883.1733198585141</v>
      </c>
      <c r="L106" s="386">
        <f>J106</f>
        <v>1318.1583333333333</v>
      </c>
      <c r="M106" s="386">
        <f>'Расчет базового уровня'!N106</f>
        <v>1568.0569051968746</v>
      </c>
      <c r="N106" s="390">
        <f>L106</f>
        <v>1318.1583333333333</v>
      </c>
      <c r="O106" s="386">
        <f>'Расчет базового уровня'!P106</f>
        <v>1347.0050919267696</v>
      </c>
      <c r="P106" s="390">
        <f>N106</f>
        <v>1318.1583333333333</v>
      </c>
      <c r="Q106" s="386">
        <f>'Расчет базового уровня'!R106</f>
        <v>1198.3830217281454</v>
      </c>
      <c r="R106" s="390">
        <f>P106</f>
        <v>1318.1583333333333</v>
      </c>
      <c r="S106" s="386">
        <f>'Расчет базового уровня'!T106</f>
        <v>1189.9172076029074</v>
      </c>
      <c r="T106" s="390">
        <f>R106</f>
        <v>1318.1583333333333</v>
      </c>
      <c r="U106" s="386">
        <f>'Расчет базового уровня'!V106</f>
        <v>1075.1583939052357</v>
      </c>
      <c r="V106" s="419">
        <f>T106</f>
        <v>1318.1583333333333</v>
      </c>
      <c r="W106" s="386">
        <f>'Расчет базового уровня'!X106</f>
        <v>1063.8706417382516</v>
      </c>
      <c r="X106" s="390">
        <f>V106</f>
        <v>1318.1583333333333</v>
      </c>
      <c r="Y106" s="386">
        <f>'Расчет базового уровня'!Z106</f>
        <v>1050.7015975434369</v>
      </c>
      <c r="Z106" s="390">
        <f>X106</f>
        <v>1318.1583333333333</v>
      </c>
      <c r="AA106" s="386">
        <f>'Расчет базового уровня'!AB106</f>
        <v>1054.4641815990983</v>
      </c>
      <c r="AB106" s="419">
        <f>Z106</f>
        <v>1318.1583333333333</v>
      </c>
      <c r="AC106" s="386">
        <f>'Расчет базового уровня'!AD106</f>
        <v>1205.9081898394684</v>
      </c>
      <c r="AD106" s="390">
        <f>AB106</f>
        <v>1318.1583333333333</v>
      </c>
      <c r="AE106" s="386">
        <f>'Расчет базового уровня'!AF106</f>
        <v>1194.6204376724841</v>
      </c>
      <c r="AF106" s="420">
        <f>AD106</f>
        <v>1318.1583333333333</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-0.3364900403505614</v>
      </c>
      <c r="K107" s="390"/>
      <c r="L107" s="387">
        <f>IF(K106=0,0,L106/K106-1)</f>
        <v>-0.3000334491610317</v>
      </c>
      <c r="M107" s="390"/>
      <c r="N107" s="387">
        <f>IF(M106=0,0,N106/M106-1)</f>
        <v>-0.15936830547113701</v>
      </c>
      <c r="O107" s="390"/>
      <c r="P107" s="387">
        <f>IF(O106=0,0,P106/O106-1)</f>
        <v>-2.1415478505856012E-2</v>
      </c>
      <c r="Q107" s="390"/>
      <c r="R107" s="387">
        <f>IF(Q106=0,0,R106/Q106-1)</f>
        <v>9.9947437032664288E-2</v>
      </c>
      <c r="S107" s="390"/>
      <c r="T107" s="387">
        <f>IF(S106=0,0,T106/S106-1)</f>
        <v>0.10777315002341048</v>
      </c>
      <c r="U107" s="390"/>
      <c r="V107" s="387">
        <f>IF(U106=0,0,V106/U106-1)</f>
        <v>0.22601315378793907</v>
      </c>
      <c r="W107" s="390"/>
      <c r="X107" s="387">
        <f>IF(W106=0,0,X106/W106-1)</f>
        <v>0.23902125091035753</v>
      </c>
      <c r="Y107" s="390"/>
      <c r="Z107" s="387">
        <f>IF(Y106=0,0,Z106/Y106-1)</f>
        <v>0.25455061305247462</v>
      </c>
      <c r="AA107" s="390"/>
      <c r="AB107" s="387">
        <f>IF(AA106=0,0,AB106/AA106-1)</f>
        <v>0.25007407206031584</v>
      </c>
      <c r="AC107" s="390"/>
      <c r="AD107" s="387">
        <f>IF(AC106=0,0,AD106/AC106-1)</f>
        <v>9.30834904677178E-2</v>
      </c>
      <c r="AE107" s="390"/>
      <c r="AF107" s="415">
        <f>IF(AE106=0,0,AF106/AE106-1)</f>
        <v>0.10341183840914514</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1660.1829664151869</v>
      </c>
      <c r="E108" s="285"/>
      <c r="F108" s="285"/>
      <c r="G108" s="416" t="s">
        <v>1217</v>
      </c>
      <c r="H108" s="378" t="s">
        <v>837</v>
      </c>
      <c r="I108" s="386">
        <f>'Расчет базового уровня'!J108</f>
        <v>0</v>
      </c>
      <c r="J108" s="409">
        <f ca="1">J110+J111+J112</f>
        <v>321.97346750246669</v>
      </c>
      <c r="K108" s="386">
        <f>'Расчет базового уровня'!L108</f>
        <v>0</v>
      </c>
      <c r="L108" s="409">
        <f ca="1">L110+L111+L112</f>
        <v>293.29201098547532</v>
      </c>
      <c r="M108" s="386">
        <f>'Расчет базового уровня'!N108</f>
        <v>0</v>
      </c>
      <c r="N108" s="409">
        <f ca="1">N110+N111+N112</f>
        <v>294.64242131618369</v>
      </c>
      <c r="O108" s="386">
        <f>'Расчет базового уровня'!P108</f>
        <v>0</v>
      </c>
      <c r="P108" s="409">
        <f ca="1">P110+P111+P112</f>
        <v>160.21675895791753</v>
      </c>
      <c r="Q108" s="386">
        <f>'Расчет базового уровня'!R108</f>
        <v>0</v>
      </c>
      <c r="R108" s="409">
        <f ca="1">R110+R111+R112</f>
        <v>41.298199554904649</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33.248562741207067</v>
      </c>
      <c r="AA108" s="386">
        <f>'Расчет базового уровня'!AB108</f>
        <v>0</v>
      </c>
      <c r="AB108" s="409">
        <f ca="1">AB110+AB111+AB112</f>
        <v>162.08583019584219</v>
      </c>
      <c r="AC108" s="386">
        <f>'Расчет базового уровня'!AD108</f>
        <v>0</v>
      </c>
      <c r="AD108" s="409">
        <f ca="1">AD110+AD111+AD112</f>
        <v>201.67180083597739</v>
      </c>
      <c r="AE108" s="386">
        <f>'Расчет базового уровня'!AF108</f>
        <v>0</v>
      </c>
      <c r="AF108" s="409">
        <f ca="1">AF110+AF111+AF112</f>
        <v>106.4655229794522</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1660.1829664151869</v>
      </c>
      <c r="E110" s="381"/>
      <c r="F110" s="50"/>
      <c r="G110" s="414" t="s">
        <v>981</v>
      </c>
      <c r="H110" s="378" t="s">
        <v>837</v>
      </c>
      <c r="I110" s="390"/>
      <c r="J110" s="421">
        <f ca="1">'Система электроснабжения'!$E$50</f>
        <v>321.97346750246669</v>
      </c>
      <c r="K110" s="390"/>
      <c r="L110" s="421">
        <f ca="1">'Система электроснабжения'!$F$50</f>
        <v>293.29201098547532</v>
      </c>
      <c r="M110" s="390"/>
      <c r="N110" s="421">
        <f ca="1">'Система электроснабжения'!$G$50</f>
        <v>294.64242131618369</v>
      </c>
      <c r="O110" s="390"/>
      <c r="P110" s="421">
        <f ca="1">'Система электроснабжения'!$H$50</f>
        <v>160.21675895791753</v>
      </c>
      <c r="Q110" s="390"/>
      <c r="R110" s="421">
        <f ca="1">'Система электроснабжения'!$I$50</f>
        <v>41.298199554904649</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33.248562741207067</v>
      </c>
      <c r="AA110" s="390"/>
      <c r="AB110" s="421">
        <f ca="1">'Система электроснабжения'!$N$50</f>
        <v>162.08583019584219</v>
      </c>
      <c r="AC110" s="390"/>
      <c r="AD110" s="421">
        <f ca="1">'Система электроснабжения'!$O$50</f>
        <v>201.67180083597739</v>
      </c>
      <c r="AE110" s="390"/>
      <c r="AF110" s="421">
        <f ca="1">'Система электроснабжения'!$P$50</f>
        <v>106.4655229794522</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2.2225453007493954</v>
      </c>
      <c r="D117" s="427">
        <f ca="1">D100/('Ввод исходных данных'!$G$56+'Ввод исходных данных'!$D$23)</f>
        <v>2.4419691738696536</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5294.8379999999997</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1.053639846743295</v>
      </c>
      <c r="D136" s="443">
        <v>1</v>
      </c>
      <c r="E136" s="445">
        <f>IF(C136=0,0,B136/C136*D136)*(1-D165)</f>
        <v>5025.2826109090902</v>
      </c>
      <c r="F136" s="446">
        <f>E136*(20-$D$147)</f>
        <v>276390.54359999998</v>
      </c>
      <c r="G136" s="445">
        <f t="shared" ref="G136:R136" ca="1" si="0">$E$136*0.024*G$149</f>
        <v>116650.88019051054</v>
      </c>
      <c r="H136" s="445">
        <f t="shared" ca="1" si="0"/>
        <v>107725.97827353598</v>
      </c>
      <c r="I136" s="445">
        <f t="shared" ca="1" si="0"/>
        <v>108051.6165867229</v>
      </c>
      <c r="J136" s="445">
        <f t="shared" ca="1" si="0"/>
        <v>62956.740549469083</v>
      </c>
      <c r="K136" s="445">
        <f t="shared" ca="1" si="0"/>
        <v>21709.220879127271</v>
      </c>
      <c r="L136" s="445">
        <f t="shared" ca="1" si="0"/>
        <v>0</v>
      </c>
      <c r="M136" s="445">
        <f t="shared" ca="1" si="0"/>
        <v>0</v>
      </c>
      <c r="N136" s="445">
        <f t="shared" ca="1" si="0"/>
        <v>0</v>
      </c>
      <c r="O136" s="445">
        <f t="shared" ca="1" si="0"/>
        <v>14472.81391941818</v>
      </c>
      <c r="P136" s="445">
        <f t="shared" ca="1" si="0"/>
        <v>63933.655489029814</v>
      </c>
      <c r="Q136" s="445">
        <f t="shared" ca="1" si="0"/>
        <v>77067.73412090182</v>
      </c>
      <c r="R136" s="445">
        <f t="shared" ca="1" si="0"/>
        <v>47109.009307706176</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1111.5</v>
      </c>
      <c r="C137" s="448">
        <f>IF('Список мероприятий'!AB16=1,VLOOKUP('Список мероприятий'!D17,'Библиотека технологий'!A50:B61,2,0),'Расчет базового уровня'!C137)</f>
        <v>0.52</v>
      </c>
      <c r="D137" s="443">
        <v>1</v>
      </c>
      <c r="E137" s="445">
        <f t="shared" ref="E137:E143" si="1">IF(C137=0,0,B137/C137*D137)</f>
        <v>2137.5</v>
      </c>
      <c r="F137" s="446">
        <f t="shared" ref="F137:F145" si="2">E137*(20-$D$147)</f>
        <v>117562.5</v>
      </c>
      <c r="G137" s="445">
        <f t="shared" ref="G137:R137" ca="1" si="3">$E$137*0.024*G$149</f>
        <v>49617.36</v>
      </c>
      <c r="H137" s="445">
        <f t="shared" ca="1" si="3"/>
        <v>45821.16</v>
      </c>
      <c r="I137" s="445">
        <f t="shared" ca="1" si="3"/>
        <v>45959.670000000006</v>
      </c>
      <c r="J137" s="445">
        <f t="shared" ca="1" si="3"/>
        <v>26778.600000000002</v>
      </c>
      <c r="K137" s="445">
        <f t="shared" ca="1" si="3"/>
        <v>9234</v>
      </c>
      <c r="L137" s="445">
        <f t="shared" ca="1" si="3"/>
        <v>0</v>
      </c>
      <c r="M137" s="445">
        <f t="shared" ca="1" si="3"/>
        <v>0</v>
      </c>
      <c r="N137" s="445">
        <f t="shared" ca="1" si="3"/>
        <v>0</v>
      </c>
      <c r="O137" s="445">
        <f t="shared" ca="1" si="3"/>
        <v>6156.0000000000009</v>
      </c>
      <c r="P137" s="445">
        <f t="shared" ca="1" si="3"/>
        <v>27194.130000000005</v>
      </c>
      <c r="Q137" s="445">
        <f t="shared" ca="1" si="3"/>
        <v>32780.700000000004</v>
      </c>
      <c r="R137" s="445">
        <f t="shared" ca="1" si="3"/>
        <v>20037.78</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59.65</v>
      </c>
      <c r="C138" s="443">
        <f>IF('Список мероприятий'!AB14=1,VLOOKUP('Список мероприятий'!D15,'Библиотека технологий'!A40:B47,2,0),'Расчет базового уровня'!C138)</f>
        <v>0.55000000000000004</v>
      </c>
      <c r="D138" s="443">
        <v>1</v>
      </c>
      <c r="E138" s="445">
        <f t="shared" si="1"/>
        <v>108.45454545454544</v>
      </c>
      <c r="F138" s="446">
        <f t="shared" si="2"/>
        <v>5964.9999999999991</v>
      </c>
      <c r="G138" s="445">
        <f t="shared" ref="G138:R138" ca="1" si="4">$E$138*0.024*G$149</f>
        <v>2517.533672727272</v>
      </c>
      <c r="H138" s="445">
        <f t="shared" ca="1" si="4"/>
        <v>2324.9183999999996</v>
      </c>
      <c r="I138" s="445">
        <f t="shared" ca="1" si="4"/>
        <v>2331.9462545454539</v>
      </c>
      <c r="J138" s="445">
        <f t="shared" ca="1" si="4"/>
        <v>1358.7185454545452</v>
      </c>
      <c r="K138" s="445">
        <f t="shared" ca="1" si="4"/>
        <v>468.52363636363629</v>
      </c>
      <c r="L138" s="445">
        <f t="shared" ca="1" si="4"/>
        <v>0</v>
      </c>
      <c r="M138" s="445">
        <f t="shared" ca="1" si="4"/>
        <v>0</v>
      </c>
      <c r="N138" s="445">
        <f t="shared" ca="1" si="4"/>
        <v>0</v>
      </c>
      <c r="O138" s="445">
        <f t="shared" ca="1" si="4"/>
        <v>312.34909090909082</v>
      </c>
      <c r="P138" s="445">
        <f t="shared" ca="1" si="4"/>
        <v>1379.802109090909</v>
      </c>
      <c r="Q138" s="445">
        <f t="shared" ca="1" si="4"/>
        <v>1663.2589090909087</v>
      </c>
      <c r="R138" s="445">
        <f t="shared" ca="1" si="4"/>
        <v>1016.6962909090906</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0</v>
      </c>
      <c r="C139" s="448">
        <f>'Расчет базового уровня'!C139</f>
        <v>0.4</v>
      </c>
      <c r="D139" s="445">
        <f>'Расчет базового уровня'!D139</f>
        <v>1</v>
      </c>
      <c r="E139" s="445">
        <f>'Расчет базового уровня'!E139</f>
        <v>0</v>
      </c>
      <c r="F139" s="446">
        <f t="shared" si="2"/>
        <v>0</v>
      </c>
      <c r="G139" s="445">
        <f>'Расчет базового уровня'!G139</f>
        <v>0</v>
      </c>
      <c r="H139" s="445">
        <f>'Расчет базового уровня'!H139</f>
        <v>0</v>
      </c>
      <c r="I139" s="445">
        <f>'Расчет базового уровня'!I139</f>
        <v>0</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0</v>
      </c>
      <c r="R139" s="445">
        <f>'Расчет базового уровня'!R139</f>
        <v>0</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1.4048531289910602</v>
      </c>
      <c r="D140" s="443">
        <v>1</v>
      </c>
      <c r="E140" s="445">
        <f t="shared" si="1"/>
        <v>0</v>
      </c>
      <c r="F140" s="446">
        <f t="shared" si="2"/>
        <v>0</v>
      </c>
      <c r="G140" s="445">
        <f t="shared" ref="G140:R140" ca="1" si="5">$E$140*0.024*G$149</f>
        <v>0</v>
      </c>
      <c r="H140" s="445">
        <f t="shared" ca="1" si="5"/>
        <v>0</v>
      </c>
      <c r="I140" s="445">
        <f t="shared" ca="1" si="5"/>
        <v>0</v>
      </c>
      <c r="J140" s="445">
        <f t="shared" ca="1" si="5"/>
        <v>0</v>
      </c>
      <c r="K140" s="445">
        <f t="shared" ca="1" si="5"/>
        <v>0</v>
      </c>
      <c r="L140" s="445">
        <f t="shared" ca="1" si="5"/>
        <v>0</v>
      </c>
      <c r="M140" s="445">
        <f t="shared" ca="1" si="5"/>
        <v>0</v>
      </c>
      <c r="N140" s="445">
        <f t="shared" ca="1" si="5"/>
        <v>0</v>
      </c>
      <c r="O140" s="445">
        <f t="shared" ca="1" si="5"/>
        <v>0</v>
      </c>
      <c r="P140" s="445">
        <f t="shared" ca="1" si="5"/>
        <v>0</v>
      </c>
      <c r="Q140" s="445">
        <f t="shared" ca="1" si="5"/>
        <v>0</v>
      </c>
      <c r="R140" s="445">
        <f t="shared" ca="1" si="5"/>
        <v>0</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1246.7</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2.1072796934865901</v>
      </c>
      <c r="D141" s="448">
        <f>IF(AND(списки!D31+списки!D32=1,'Список мероприятий'!AB26=0),0.9,IF(списки!D31+списки!D32=0,1,((списки!$C$56-'Расчет после реализации'!D161)/(списки!$C$56-'Расчет после реализации'!$D$147))))</f>
        <v>8.1818181818181818E-2</v>
      </c>
      <c r="E141" s="445">
        <f>IF(C141=0,0,B141/C141*D141)</f>
        <v>48.404930578512399</v>
      </c>
      <c r="F141" s="446">
        <f t="shared" si="2"/>
        <v>2662.271181818182</v>
      </c>
      <c r="G141" s="445">
        <f t="shared" ref="G141:R142" ca="1" si="6">$E$141*0.024*G$149</f>
        <v>1123.6139725328926</v>
      </c>
      <c r="H141" s="445">
        <f t="shared" ca="1" si="6"/>
        <v>1037.6468158254545</v>
      </c>
      <c r="I141" s="445">
        <f t="shared" ca="1" si="6"/>
        <v>1040.7834553269422</v>
      </c>
      <c r="J141" s="445">
        <f t="shared" ca="1" si="6"/>
        <v>606.41697028760336</v>
      </c>
      <c r="K141" s="445">
        <f t="shared" ca="1" si="6"/>
        <v>209.10930009917357</v>
      </c>
      <c r="L141" s="445">
        <f t="shared" ca="1" si="6"/>
        <v>0</v>
      </c>
      <c r="M141" s="445">
        <f t="shared" ca="1" si="6"/>
        <v>0</v>
      </c>
      <c r="N141" s="445">
        <f t="shared" ca="1" si="6"/>
        <v>0</v>
      </c>
      <c r="O141" s="445">
        <f t="shared" ca="1" si="6"/>
        <v>139.4062000661157</v>
      </c>
      <c r="P141" s="445">
        <f t="shared" ca="1" si="6"/>
        <v>615.82688879206614</v>
      </c>
      <c r="Q141" s="445">
        <f t="shared" ca="1" si="6"/>
        <v>742.33801535206612</v>
      </c>
      <c r="R141" s="445">
        <f t="shared" ca="1" si="6"/>
        <v>453.76718121520662</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1.053639846743295</v>
      </c>
      <c r="D142" s="448">
        <f>IF(AND(списки!D31+списки!D32=1,
                   'Список мероприятий'!AB26=0),
              0.9,
              IF(списки!D31+списки!D32=0,
                          1,
                          ((списки!$C$56-
                              'Расчет после реализации'!D162)/
                            (списки!$C$56-
                              'Расчет после реализации'!$D$147))))</f>
        <v>0.32727272727272727</v>
      </c>
      <c r="E142" s="445">
        <f>IF(C142=0,0,B142/C142*D142)</f>
        <v>0</v>
      </c>
      <c r="F142" s="446">
        <f t="shared" si="2"/>
        <v>0</v>
      </c>
      <c r="G142" s="445">
        <f t="shared" ca="1" si="6"/>
        <v>1123.6139725328926</v>
      </c>
      <c r="H142" s="445">
        <f t="shared" ca="1" si="6"/>
        <v>1037.6468158254545</v>
      </c>
      <c r="I142" s="445">
        <f t="shared" ca="1" si="6"/>
        <v>1040.7834553269422</v>
      </c>
      <c r="J142" s="445">
        <f t="shared" ca="1" si="6"/>
        <v>606.41697028760336</v>
      </c>
      <c r="K142" s="445">
        <f t="shared" ca="1" si="6"/>
        <v>209.10930009917357</v>
      </c>
      <c r="L142" s="445">
        <f t="shared" ca="1" si="6"/>
        <v>0</v>
      </c>
      <c r="M142" s="445">
        <f t="shared" ca="1" si="6"/>
        <v>0</v>
      </c>
      <c r="N142" s="445">
        <f t="shared" ca="1" si="6"/>
        <v>0</v>
      </c>
      <c r="O142" s="445">
        <f t="shared" ca="1" si="6"/>
        <v>139.4062000661157</v>
      </c>
      <c r="P142" s="445">
        <f t="shared" ca="1" si="6"/>
        <v>615.82688879206614</v>
      </c>
      <c r="Q142" s="445">
        <f t="shared" ca="1" si="6"/>
        <v>742.33801535206612</v>
      </c>
      <c r="R142" s="445">
        <f t="shared" ca="1" si="6"/>
        <v>453.76718121520662</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1.053639846743295</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1246.7</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0.63218390804597702</v>
      </c>
      <c r="D144" s="448">
        <f>(списки!C56-'Расчет базового уровня'!$D$162)/(списки!C56-'Расчет базового уровня'!$D$147)</f>
        <v>0.32727272727272727</v>
      </c>
      <c r="E144" s="445">
        <f>IF(C144=0,0,B144/C144*D144)</f>
        <v>645.3990743801653</v>
      </c>
      <c r="F144" s="446">
        <f t="shared" si="2"/>
        <v>35496.949090909089</v>
      </c>
      <c r="G144" s="445">
        <f t="shared" ref="G144:R144" ca="1" si="8">$E$144*0.024*G$149</f>
        <v>14981.519633771901</v>
      </c>
      <c r="H144" s="445">
        <f t="shared" ca="1" si="8"/>
        <v>13835.290877672727</v>
      </c>
      <c r="I144" s="445">
        <f t="shared" ca="1" si="8"/>
        <v>13877.112737692563</v>
      </c>
      <c r="J144" s="445">
        <f t="shared" ca="1" si="8"/>
        <v>8085.5596038347112</v>
      </c>
      <c r="K144" s="445">
        <f t="shared" ca="1" si="8"/>
        <v>2788.1240013223141</v>
      </c>
      <c r="L144" s="445">
        <f t="shared" ca="1" si="8"/>
        <v>0</v>
      </c>
      <c r="M144" s="445">
        <f t="shared" ca="1" si="8"/>
        <v>0</v>
      </c>
      <c r="N144" s="445">
        <f t="shared" ca="1" si="8"/>
        <v>0</v>
      </c>
      <c r="O144" s="445">
        <f t="shared" ca="1" si="8"/>
        <v>1858.7493342148762</v>
      </c>
      <c r="P144" s="445">
        <f t="shared" ca="1" si="8"/>
        <v>8211.0251838942168</v>
      </c>
      <c r="Q144" s="445">
        <f t="shared" ca="1" si="8"/>
        <v>9897.8402046942156</v>
      </c>
      <c r="R144" s="445">
        <f t="shared" ca="1" si="8"/>
        <v>6050.2290828694213</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35.1</v>
      </c>
      <c r="C145" s="443">
        <f>IF('Список мероприятий'!AB75=1,0.95,'Расчет базового уровня'!C145)</f>
        <v>0.95</v>
      </c>
      <c r="D145" s="448">
        <v>1</v>
      </c>
      <c r="E145" s="445">
        <f>IF(C145=0,0,B145/C145*D145)</f>
        <v>36.947368421052637</v>
      </c>
      <c r="F145" s="446">
        <f t="shared" si="2"/>
        <v>2032.105263157895</v>
      </c>
      <c r="G145" s="445">
        <f ca="1">$E$145*0.024*G$149</f>
        <v>857.65187368421061</v>
      </c>
      <c r="H145" s="445">
        <f t="shared" ref="H145:R145" ca="1" si="9">$E$145*0.024*H$149</f>
        <v>792.03334736842112</v>
      </c>
      <c r="I145" s="445">
        <f t="shared" ca="1" si="9"/>
        <v>794.42753684210538</v>
      </c>
      <c r="J145" s="445">
        <f t="shared" ca="1" si="9"/>
        <v>462.87663157894741</v>
      </c>
      <c r="K145" s="445">
        <f t="shared" ca="1" si="9"/>
        <v>159.6126315789474</v>
      </c>
      <c r="L145" s="445">
        <f t="shared" ca="1" si="9"/>
        <v>0</v>
      </c>
      <c r="M145" s="445">
        <f t="shared" ca="1" si="9"/>
        <v>0</v>
      </c>
      <c r="N145" s="445">
        <f t="shared" ca="1" si="9"/>
        <v>0</v>
      </c>
      <c r="O145" s="445">
        <f t="shared" ca="1" si="9"/>
        <v>106.4084210526316</v>
      </c>
      <c r="P145" s="445">
        <f t="shared" ca="1" si="9"/>
        <v>470.05920000000009</v>
      </c>
      <c r="Q145" s="445">
        <f t="shared" ca="1" si="9"/>
        <v>566.62484210526327</v>
      </c>
      <c r="R145" s="445">
        <f t="shared" ca="1" si="9"/>
        <v>346.3594105263158</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8959.387999999999</v>
      </c>
      <c r="C146" s="443"/>
      <c r="D146" s="443"/>
      <c r="E146" s="445">
        <f>SUM(E136:E145)</f>
        <v>8001.9885297433648</v>
      </c>
      <c r="F146" s="1441">
        <f>E146*(20-$D$147)/1000</f>
        <v>440.10936913588506</v>
      </c>
      <c r="G146" s="445">
        <f ca="1">SUM(G136:G145)</f>
        <v>186872.17331575966</v>
      </c>
      <c r="H146" s="445">
        <f t="shared" ref="H146:R146" ca="1" si="10">SUM(H136:H145)</f>
        <v>172574.67453022805</v>
      </c>
      <c r="I146" s="445">
        <f t="shared" ca="1" si="10"/>
        <v>173096.34002645692</v>
      </c>
      <c r="J146" s="445">
        <f t="shared" ca="1" si="10"/>
        <v>100855.32927091251</v>
      </c>
      <c r="K146" s="445">
        <f t="shared" ca="1" si="10"/>
        <v>34777.699748590516</v>
      </c>
      <c r="L146" s="445">
        <f t="shared" ca="1" si="10"/>
        <v>0</v>
      </c>
      <c r="M146" s="445">
        <f t="shared" ca="1" si="10"/>
        <v>0</v>
      </c>
      <c r="N146" s="445">
        <f t="shared" ca="1" si="10"/>
        <v>0</v>
      </c>
      <c r="O146" s="445">
        <f t="shared" ca="1" si="10"/>
        <v>23185.133165727009</v>
      </c>
      <c r="P146" s="445">
        <f t="shared" ca="1" si="10"/>
        <v>102420.32575959909</v>
      </c>
      <c r="Q146" s="445">
        <f t="shared" ca="1" si="10"/>
        <v>123460.83410749635</v>
      </c>
      <c r="R146" s="445">
        <f t="shared" ca="1" si="10"/>
        <v>75467.608454441433</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-35</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237</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15</v>
      </c>
      <c r="L148" s="452">
        <f ca="1">'Ввод исходных данных'!$I$278</f>
        <v>0</v>
      </c>
      <c r="M148" s="452">
        <f ca="1">'Ввод исходных данных'!$I$279</f>
        <v>0</v>
      </c>
      <c r="N148" s="452">
        <f ca="1">'Ввод исходных данных'!$I$280</f>
        <v>0</v>
      </c>
      <c r="O148" s="452">
        <f ca="1">'Ввод исходных данных'!$I$281</f>
        <v>10</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5138</v>
      </c>
      <c r="E149" s="50"/>
      <c r="F149" s="50"/>
      <c r="G149" s="452">
        <f ca="1">'Ввод исходных данных'!$G$273</f>
        <v>967.19999999999993</v>
      </c>
      <c r="H149" s="452">
        <f ca="1">'Ввод исходных данных'!$G$274</f>
        <v>893.19999999999993</v>
      </c>
      <c r="I149" s="452">
        <f ca="1">'Ввод исходных данных'!$G$275</f>
        <v>895.9</v>
      </c>
      <c r="J149" s="452">
        <f ca="1">'Ввод исходных данных'!$G$276</f>
        <v>522</v>
      </c>
      <c r="K149" s="452">
        <f ca="1">'Ввод исходных данных'!$G$277</f>
        <v>180</v>
      </c>
      <c r="L149" s="452">
        <f ca="1">'Ввод исходных данных'!$G$278</f>
        <v>0</v>
      </c>
      <c r="M149" s="452">
        <f ca="1">'Ввод исходных данных'!$G$279</f>
        <v>0</v>
      </c>
      <c r="N149" s="452">
        <f ca="1">'Ввод исходных данных'!$G$280</f>
        <v>0</v>
      </c>
      <c r="O149" s="452">
        <f ca="1">'Ввод исходных данных'!$G$281</f>
        <v>120</v>
      </c>
      <c r="P149" s="452">
        <f ca="1">'Ввод исходных данных'!$G$282</f>
        <v>530.1</v>
      </c>
      <c r="Q149" s="452">
        <f ca="1">'Ввод исходных данных'!$G$283</f>
        <v>639</v>
      </c>
      <c r="R149" s="452">
        <f ca="1">'Ввод исходных данных'!$G$284</f>
        <v>390.59999999999997</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14.388728682170541</v>
      </c>
      <c r="E150" s="50"/>
      <c r="F150" s="457">
        <f>17*D152/1000</f>
        <v>78.274799999999985</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29.325968992248065</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4604.3999999999996</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123.10617694031164</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15.5</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462">
        <f ca="1">0.28*(4*'Ввод исходных данных'!$D$23*'Расчет базового уровня'!$D$154*0.5+'Расчет базового уровня'!$D$164*'Расчет базового уровня'!$D$156*0.5)*'Расчет базового уровня'!$D$157*0.024*G149</f>
        <v>0</v>
      </c>
      <c r="H163" s="462">
        <f ca="1">0.28*(4*'Ввод исходных данных'!$D$23*'Расчет базового уровня'!$D$154*0.5+'Расчет базового уровня'!$D$164*'Расчет базового уровня'!$D$156*0.5)*'Расчет базового уровня'!$D$157*0.024*H149</f>
        <v>0</v>
      </c>
      <c r="I163" s="462">
        <f ca="1">0.28*(4*'Ввод исходных данных'!$D$23*'Расчет базового уровня'!$D$154*0.5+'Расчет базового уровня'!$D$164*'Расчет базового уровня'!$D$156*0.5)*'Расчет базового уровня'!$D$157*0.024*I149</f>
        <v>0</v>
      </c>
      <c r="J163" s="462">
        <f ca="1">0.28*(4*'Ввод исходных данных'!$D$23*'Расчет базового уровня'!$D$154*0.5+'Расчет базового уровня'!$D$164*'Расчет базового уровня'!$D$156*0.5)*'Расчет базового уровня'!$D$157*0.024*J149</f>
        <v>0</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0</v>
      </c>
      <c r="R163" s="462">
        <f ca="1">0.28*(4*'Ввод исходных данных'!$D$23*'Расчет базового уровня'!$D$154*0.5+'Расчет базового уровня'!$D$164*'Расчет базового уровня'!$D$156*0.5)*'Расчет базового уровня'!$D$157*0.024*R149</f>
        <v>0</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1</v>
      </c>
      <c r="M166" s="1769">
        <f>IFERROR(IF(VLOOKUP(M$131,'Ввод исходных данных'!$C$127:$D$132,2,FALSE)&gt;0,1,0),0)</f>
        <v>1</v>
      </c>
      <c r="N166" s="1769">
        <f>IFERROR(IF(VLOOKUP(N$131,'Ввод исходных данных'!$C$127:$D$132,2,FALSE)&gt;0,1,0),0)</f>
        <v>1</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120.86092715231787</v>
      </c>
      <c r="E167" s="50"/>
      <c r="F167" s="50"/>
      <c r="G167" s="470">
        <f>'Расчет базового уровня'!G169</f>
        <v>121.32003798670466</v>
      </c>
      <c r="H167" s="470">
        <f>'Расчет базового уровня'!H169</f>
        <v>121.32003798670466</v>
      </c>
      <c r="I167" s="470">
        <f>'Расчет базового уровня'!I169</f>
        <v>121.32003798670466</v>
      </c>
      <c r="J167" s="470">
        <f>'Расчет базового уровня'!J169</f>
        <v>121.32003798670466</v>
      </c>
      <c r="K167" s="470">
        <f>'Расчет базового уровня'!K169</f>
        <v>109.18803418803419</v>
      </c>
      <c r="L167" s="470">
        <f>'Расчет базового уровня'!L169</f>
        <v>109.18803418803419</v>
      </c>
      <c r="M167" s="470">
        <f>'Расчет базового уровня'!M169</f>
        <v>109.18803418803419</v>
      </c>
      <c r="N167" s="470">
        <f>'Расчет базового уровня'!N169</f>
        <v>109.18803418803419</v>
      </c>
      <c r="O167" s="470">
        <f>'Расчет базового уровня'!O169</f>
        <v>109.18803418803419</v>
      </c>
      <c r="P167" s="470">
        <f>'Расчет базового уровня'!P169</f>
        <v>121.32003798670466</v>
      </c>
      <c r="Q167" s="470">
        <f>'Расчет базового уровня'!Q169</f>
        <v>121.32003798670466</v>
      </c>
      <c r="R167" s="470">
        <f>'Расчет базового уровня'!R169</f>
        <v>121.32003798670466</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326</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19</v>
      </c>
      <c r="M170" s="1771">
        <f>M165-M166*IFERROR(VLOOKUP(M$131,'Ввод исходных данных'!$C$127:$D$132,2,FALSE),0)</f>
        <v>19</v>
      </c>
      <c r="N170" s="1771">
        <f>N165-N166*IFERROR(VLOOKUP(N$131,'Ввод исходных данных'!$C$127:$D$132,2,FALSE),0)</f>
        <v>15</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1.2992549668874172</v>
      </c>
      <c r="E171" s="50"/>
      <c r="F171" s="50"/>
      <c r="G171" s="474">
        <f>G167*'Ввод исходных данных'!$D$22/24/1000</f>
        <v>1.304190408357075</v>
      </c>
      <c r="H171" s="474">
        <f>H167*'Ввод исходных данных'!$D$22/24/1000</f>
        <v>1.304190408357075</v>
      </c>
      <c r="I171" s="474">
        <f>I167*'Ввод исходных данных'!$D$22/24/1000</f>
        <v>1.304190408357075</v>
      </c>
      <c r="J171" s="474">
        <f>J167*'Ввод исходных данных'!$D$22/24/1000</f>
        <v>1.304190408357075</v>
      </c>
      <c r="K171" s="474">
        <f>K167*'Ввод исходных данных'!$D$22/24/1000</f>
        <v>1.1737713675213677</v>
      </c>
      <c r="L171" s="474">
        <f>L167*'Ввод исходных данных'!$D$22/24/1000</f>
        <v>1.1737713675213677</v>
      </c>
      <c r="M171" s="474">
        <f>M167*'Ввод исходных данных'!$D$22/24/1000</f>
        <v>1.1737713675213677</v>
      </c>
      <c r="N171" s="474">
        <f>N167*'Ввод исходных данных'!$D$22/24/1000</f>
        <v>1.1737713675213677</v>
      </c>
      <c r="O171" s="474">
        <f>O167*'Ввод исходных данных'!$D$22/24/1000</f>
        <v>1.1737713675213677</v>
      </c>
      <c r="P171" s="474">
        <f>P167*'Ввод исходных данных'!$D$22/24/1000</f>
        <v>1.304190408357075</v>
      </c>
      <c r="Q171" s="474">
        <f>Q167*'Ввод исходных данных'!$D$22/24/1000</f>
        <v>1.304190408357075</v>
      </c>
      <c r="R171" s="474">
        <f>R167*'Ввод исходных данных'!$D$22/24/1000</f>
        <v>1.304190408357075</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5.6875129513727796</v>
      </c>
      <c r="E172" s="50"/>
      <c r="F172" s="50"/>
      <c r="G172" s="474">
        <f>G171*'Система электроснабжения'!$C$54</f>
        <v>5.7091179388423816</v>
      </c>
      <c r="H172" s="474">
        <f>H171*'Система электроснабжения'!$C$54</f>
        <v>5.7091179388423816</v>
      </c>
      <c r="I172" s="474">
        <f>I171*'Система электроснабжения'!$C$54</f>
        <v>5.7091179388423816</v>
      </c>
      <c r="J172" s="474">
        <f>J171*'Система электроснабжения'!$C$54</f>
        <v>5.7091179388423816</v>
      </c>
      <c r="K172" s="474">
        <f>K171*'Система электроснабжения'!$C$54</f>
        <v>5.1382061449581444</v>
      </c>
      <c r="L172" s="474">
        <f>L171*'Система электроснабжения'!$C$54</f>
        <v>5.1382061449581444</v>
      </c>
      <c r="M172" s="474">
        <f>M171*'Система электроснабжения'!$C$54</f>
        <v>5.1382061449581444</v>
      </c>
      <c r="N172" s="474">
        <f>N171*'Система электроснабжения'!$C$54</f>
        <v>5.1382061449581444</v>
      </c>
      <c r="O172" s="474">
        <f>O171*'Система электроснабжения'!$C$54</f>
        <v>5.1382061449581444</v>
      </c>
      <c r="P172" s="474">
        <f>P171*'Система электроснабжения'!$C$54</f>
        <v>5.7091179388423816</v>
      </c>
      <c r="Q172" s="474">
        <f>Q171*'Система электроснабжения'!$C$54</f>
        <v>5.7091179388423816</v>
      </c>
      <c r="R172" s="474">
        <f>R171*'Система электроснабжения'!$C$54</f>
        <v>5.7091179388423816</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20.195944858351726</v>
      </c>
      <c r="E173" s="50"/>
      <c r="F173" s="50"/>
      <c r="G173" s="475">
        <f xml:space="preserve"> (G167*($D$174-$D$175)*(1+$D$176)*1*$D$177)/(3.6*24*$D$178)</f>
        <v>20.272662597604729</v>
      </c>
      <c r="H173" s="475">
        <f t="shared" ref="H173:R173" si="11" xml:space="preserve"> (H167*($D$174-$D$175)*(1+$D$176)*1*$D$177)/(3.6*24*$D$178)</f>
        <v>20.272662597604729</v>
      </c>
      <c r="I173" s="475">
        <f t="shared" si="11"/>
        <v>20.272662597604729</v>
      </c>
      <c r="J173" s="475">
        <f t="shared" si="11"/>
        <v>20.272662597604729</v>
      </c>
      <c r="K173" s="475">
        <f t="shared" si="11"/>
        <v>18.245396337844259</v>
      </c>
      <c r="L173" s="475">
        <f t="shared" si="11"/>
        <v>18.245396337844259</v>
      </c>
      <c r="M173" s="475">
        <f t="shared" si="11"/>
        <v>18.245396337844259</v>
      </c>
      <c r="N173" s="475">
        <f t="shared" si="11"/>
        <v>18.245396337844259</v>
      </c>
      <c r="O173" s="475">
        <f t="shared" si="11"/>
        <v>18.245396337844259</v>
      </c>
      <c r="P173" s="475">
        <f t="shared" si="11"/>
        <v>20.272662597604729</v>
      </c>
      <c r="Q173" s="475">
        <f t="shared" si="11"/>
        <v>20.272662597604729</v>
      </c>
      <c r="R173" s="475">
        <f t="shared" si="11"/>
        <v>20.272662597604729</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7.7300613496932513</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0.25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29.325968992248065</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12.471015115307326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19.547703278364327</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12.945794392523364</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80.36122231050409</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306.71499084538993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387.07621315589404</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3098.4072874037965</v>
      </c>
      <c r="E190" s="50"/>
      <c r="F190" s="50"/>
      <c r="G190" s="470">
        <f ca="1">0.024*$D$187*G$149*0.28</f>
        <v>522.31451474979542</v>
      </c>
      <c r="H190" s="470">
        <f t="shared" ref="H190:R190" ca="1" si="12">0.024*$D$187*H$149*0.28</f>
        <v>482.35248611922793</v>
      </c>
      <c r="I190" s="470">
        <f t="shared" ca="1" si="12"/>
        <v>483.81056013682974</v>
      </c>
      <c r="J190" s="470">
        <f t="shared" ca="1" si="12"/>
        <v>281.89431006967868</v>
      </c>
      <c r="K190" s="470">
        <f t="shared" ca="1" si="12"/>
        <v>97.204934506785762</v>
      </c>
      <c r="L190" s="470">
        <f t="shared" ca="1" si="12"/>
        <v>0</v>
      </c>
      <c r="M190" s="470">
        <f t="shared" ca="1" si="12"/>
        <v>0</v>
      </c>
      <c r="N190" s="470">
        <f t="shared" ca="1" si="12"/>
        <v>0</v>
      </c>
      <c r="O190" s="470">
        <f t="shared" ca="1" si="12"/>
        <v>64.803289671190512</v>
      </c>
      <c r="P190" s="470">
        <f t="shared" ca="1" si="12"/>
        <v>286.26853212248409</v>
      </c>
      <c r="Q190" s="470">
        <f t="shared" ca="1" si="12"/>
        <v>345.07751749908942</v>
      </c>
      <c r="R190" s="470">
        <f t="shared" ca="1" si="12"/>
        <v>210.9347078797251</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11825.703187034855</v>
      </c>
      <c r="E191" s="50"/>
      <c r="F191" s="50"/>
      <c r="G191" s="470">
        <f ca="1">0.024*$D$188*G$149*0.28</f>
        <v>1993.519847058843</v>
      </c>
      <c r="H191" s="470">
        <f t="shared" ref="H191:R191" ca="1" si="13">0.024*$D$188*H$149*0.28</f>
        <v>1840.9966164112475</v>
      </c>
      <c r="I191" s="470">
        <f t="shared" ca="1" si="13"/>
        <v>1846.5616532051463</v>
      </c>
      <c r="J191" s="470">
        <f t="shared" ca="1" si="13"/>
        <v>1075.9071134870926</v>
      </c>
      <c r="K191" s="470">
        <f t="shared" ca="1" si="13"/>
        <v>371.00245292658371</v>
      </c>
      <c r="L191" s="470">
        <f t="shared" ca="1" si="13"/>
        <v>0</v>
      </c>
      <c r="M191" s="470">
        <f t="shared" ca="1" si="13"/>
        <v>0</v>
      </c>
      <c r="N191" s="470">
        <f t="shared" ca="1" si="13"/>
        <v>0</v>
      </c>
      <c r="O191" s="470">
        <f t="shared" ca="1" si="13"/>
        <v>247.33496861772247</v>
      </c>
      <c r="P191" s="470">
        <f t="shared" ca="1" si="13"/>
        <v>1092.602223868789</v>
      </c>
      <c r="Q191" s="470">
        <f t="shared" ca="1" si="13"/>
        <v>1317.0587078893723</v>
      </c>
      <c r="R191" s="470">
        <f t="shared" ca="1" si="13"/>
        <v>805.07532285068658</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14924.11047443865</v>
      </c>
      <c r="E192" s="50"/>
      <c r="F192" s="50"/>
      <c r="G192" s="470">
        <f ca="1">0.024*$D$189*G$149*0.28</f>
        <v>2515.8343618086383</v>
      </c>
      <c r="H192" s="470">
        <f t="shared" ref="H192:R192" ca="1" si="14">0.024*$D$189*H$149*0.28</f>
        <v>2323.3491025304756</v>
      </c>
      <c r="I192" s="470">
        <f t="shared" ca="1" si="14"/>
        <v>2330.372213341976</v>
      </c>
      <c r="J192" s="470">
        <f t="shared" ca="1" si="14"/>
        <v>1357.8014235567714</v>
      </c>
      <c r="K192" s="470">
        <f t="shared" ca="1" si="14"/>
        <v>468.20738743336949</v>
      </c>
      <c r="L192" s="470">
        <f t="shared" ca="1" si="14"/>
        <v>0</v>
      </c>
      <c r="M192" s="470">
        <f t="shared" ca="1" si="14"/>
        <v>0</v>
      </c>
      <c r="N192" s="470">
        <f t="shared" ca="1" si="14"/>
        <v>0</v>
      </c>
      <c r="O192" s="470">
        <f t="shared" ca="1" si="14"/>
        <v>312.13825828891294</v>
      </c>
      <c r="P192" s="470">
        <f t="shared" ca="1" si="14"/>
        <v>1378.8707559912732</v>
      </c>
      <c r="Q192" s="470">
        <f t="shared" ca="1" si="14"/>
        <v>1662.1362253884615</v>
      </c>
      <c r="R192" s="470">
        <f t="shared" ca="1" si="14"/>
        <v>1016.0100307304117</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E83:AF83"/>
    <mergeCell ref="U83:V83"/>
    <mergeCell ref="W83:X83"/>
    <mergeCell ref="Y83:Z83"/>
    <mergeCell ref="AA83:AB83"/>
    <mergeCell ref="AC83:AD83"/>
    <mergeCell ref="K83:L83"/>
    <mergeCell ref="M83:N83"/>
    <mergeCell ref="O83:P83"/>
    <mergeCell ref="Q83:R83"/>
    <mergeCell ref="S83:T83"/>
    <mergeCell ref="I98:J98"/>
    <mergeCell ref="H83:H84"/>
    <mergeCell ref="A97:D97"/>
    <mergeCell ref="A98:A99"/>
    <mergeCell ref="B98:B99"/>
    <mergeCell ref="D98:D99"/>
    <mergeCell ref="C98:C99"/>
    <mergeCell ref="G98:G99"/>
    <mergeCell ref="H98:H99"/>
    <mergeCell ref="G83:G84"/>
    <mergeCell ref="I83:J83"/>
    <mergeCell ref="A82:D82"/>
    <mergeCell ref="A83:A84"/>
    <mergeCell ref="B83:B84"/>
    <mergeCell ref="D83:D84"/>
    <mergeCell ref="C83:C84"/>
    <mergeCell ref="U4:V4"/>
    <mergeCell ref="W4:X4"/>
    <mergeCell ref="Y4:Z4"/>
    <mergeCell ref="AA4:AB4"/>
    <mergeCell ref="AE33:AF33"/>
    <mergeCell ref="U33:V33"/>
    <mergeCell ref="W33:X33"/>
    <mergeCell ref="Y33:Z33"/>
    <mergeCell ref="AA33:AB33"/>
    <mergeCell ref="AC33:AD33"/>
    <mergeCell ref="AC4:AD4"/>
    <mergeCell ref="AE4:AF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A32:D32"/>
    <mergeCell ref="A33:A34"/>
    <mergeCell ref="B33:B34"/>
    <mergeCell ref="D33:D34"/>
    <mergeCell ref="C33:C34"/>
    <mergeCell ref="A3:E3"/>
    <mergeCell ref="A4:A5"/>
    <mergeCell ref="B4:B5"/>
    <mergeCell ref="D4:D5"/>
    <mergeCell ref="C4:C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3340120.3172005066</v>
      </c>
      <c r="D81" s="261">
        <f>C81*0.2+100000</f>
        <v>768024.06344010134</v>
      </c>
      <c r="E81" s="50"/>
      <c r="F81" s="50"/>
      <c r="G81" s="50"/>
      <c r="H81" s="50"/>
      <c r="I81" s="50"/>
      <c r="J81" s="50"/>
      <c r="K81" s="50"/>
    </row>
    <row r="82" spans="1:11" x14ac:dyDescent="0.25">
      <c r="A82" s="71" t="s">
        <v>1533</v>
      </c>
      <c r="B82" s="71" t="s">
        <v>853</v>
      </c>
      <c r="C82" s="261">
        <f>531500+285*'Расчет базового уровня'!E174</f>
        <v>646346.04373723804</v>
      </c>
      <c r="D82" s="71">
        <f>C82*0.2+100000</f>
        <v>229269.20874744761</v>
      </c>
      <c r="E82" s="50"/>
      <c r="F82" s="50"/>
      <c r="G82" s="50"/>
      <c r="H82" s="50"/>
      <c r="I82" s="50"/>
      <c r="J82" s="50"/>
      <c r="K82" s="50"/>
    </row>
    <row r="83" spans="1:11" x14ac:dyDescent="0.25">
      <c r="A83" s="71" t="s">
        <v>1537</v>
      </c>
      <c r="B83" s="71" t="s">
        <v>853</v>
      </c>
      <c r="C83" s="261">
        <f>150121*'Расчет базового уровня'!E175+23232</f>
        <v>75256.879022508787</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225</v>
      </c>
      <c r="F2" s="51">
        <f>VLOOKUP(CONCATENATE('Ввод исходных данных'!$D$10,'Ввод исходных данных'!$D$11),Климатология!$D$9:$BF$548,F7,0)</f>
        <v>-5.5</v>
      </c>
      <c r="G2" s="51">
        <f>VLOOKUP(CONCATENATE('Ввод исходных данных'!$D$10,'Ввод исходных данных'!$D$11),Климатология!$D$9:$BF$548,G7,0)</f>
        <v>-35</v>
      </c>
      <c r="H2" s="51">
        <f>VLOOKUP(CONCATENATE('Ввод исходных данных'!$D$10,'Ввод исходных данных'!$D$11),Климатология!$D$9:$BF$548,H7,0)</f>
        <v>3.4</v>
      </c>
      <c r="I2" s="51">
        <f>VLOOKUP(CONCATENATE('Ввод исходных данных'!$D$10,'Ввод исходных данных'!$D$11),Климатология!$D$9:$BF$548,I7,0)</f>
        <v>5737.5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18.2</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15.1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9.5</v>
      </c>
      <c r="U2" s="51">
        <f>VLOOKUP(CONCATENATE('Ввод исходных данных'!$D$10,'Ввод исходных данных'!$D$11),Климатология!$D$9:$BF$548,U7,0)</f>
        <v>6.5</v>
      </c>
      <c r="V2" s="51">
        <f>VLOOKUP(CONCATENATE('Ввод исходных данных'!$D$10,'Ввод исходных данных'!$D$11),Климатология!$D$9:$BF$548,V7,0)</f>
        <v>68.25</v>
      </c>
      <c r="W2" s="51">
        <f>VLOOKUP(CONCATENATE('Ввод исходных данных'!$D$10,'Ввод исходных данных'!$D$11),Климатология!$D$9:$BF$548,W7,0)</f>
        <v>2.2999999999999998</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548.69999999999993</v>
      </c>
      <c r="AA2" s="51">
        <f>VLOOKUP(CONCATENATE('Ввод исходных данных'!$D$10,'Ввод исходных данных'!$D$11),Климатология!$D$9:$BF$548,AA7,0)</f>
        <v>-5.6</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768</v>
      </c>
      <c r="AE2" s="51">
        <f>VLOOKUP(CONCATENATE('Ввод исходных данных'!$D$10,'Ввод исходных данных'!$D$11),Климатология!$D$9:$BF$548,AE7,0)</f>
        <v>-11.3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970.30000000000007</v>
      </c>
      <c r="AI2" s="51">
        <f>VLOOKUP(CONCATENATE('Ввод исходных данных'!$D$10,'Ввод исходных данных'!$D$11),Климатология!$D$9:$BF$548,AI7,0)</f>
        <v>-13.9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1050.8999999999999</v>
      </c>
      <c r="AM2" s="51">
        <f>VLOOKUP(CONCATENATE('Ввод исходных данных'!$D$10,'Ввод исходных данных'!$D$11),Климатология!$D$9:$BF$548,AM7,0)</f>
        <v>-12.3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904.39999999999986</v>
      </c>
      <c r="AQ2" s="51">
        <f>VLOOKUP(CONCATENATE('Ввод исходных данных'!$D$10,'Ввод исходных данных'!$D$11),Климатология!$D$9:$BF$548,AQ7,0)</f>
        <v>-4.5</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759.5</v>
      </c>
      <c r="AU2" s="51">
        <f>VLOOKUP(CONCATENATE('Ввод исходных данных'!$D$10,'Ввод исходных данных'!$D$11),Климатология!$D$9:$BF$548,AU7,0)</f>
        <v>3.5</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495</v>
      </c>
      <c r="AY2" s="51">
        <f>VLOOKUP(CONCATENATE('Ввод исходных данных'!$D$10,'Ввод исходных данных'!$D$11),Климатология!$D$9:$BF$548,AY7,0)</f>
        <v>10.6</v>
      </c>
      <c r="BA2" s="51">
        <f>VLOOKUP(CONCATENATE('Ввод исходных данных'!$D$10,'Ввод исходных данных'!$D$11),Климатология!$D$9:$BF$548,BA7,0)</f>
        <v>6.5</v>
      </c>
      <c r="BB2" s="51">
        <f>VLOOKUP(CONCATENATE('Ввод исходных данных'!$D$10,'Ввод исходных данных'!$D$11),Климатология!$D$9:$BF$548,BB7,0)</f>
        <v>61.1</v>
      </c>
      <c r="BC2" s="51">
        <f>VLOOKUP(CONCATENATE('Ввод исходных данных'!$D$10,'Ввод исходных данных'!$D$11),Климатология!$D$9:$BF$548,BC7,0)</f>
        <v>15.8</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Пермская областьПермь</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18" t="s">
        <v>720</v>
      </c>
      <c r="L6" s="2518"/>
      <c r="M6" s="2518"/>
      <c r="N6" s="2518"/>
      <c r="O6" s="2519" t="s">
        <v>721</v>
      </c>
      <c r="P6" s="2519"/>
      <c r="Q6" s="2519"/>
      <c r="R6" s="2519"/>
      <c r="S6" s="2520" t="s">
        <v>722</v>
      </c>
      <c r="T6" s="2520"/>
      <c r="U6" s="2520"/>
      <c r="V6" s="2520"/>
      <c r="W6" s="2524" t="s">
        <v>482</v>
      </c>
      <c r="X6" s="2524"/>
      <c r="Y6" s="2524"/>
      <c r="Z6" s="2524"/>
      <c r="AA6" s="2525" t="s">
        <v>486</v>
      </c>
      <c r="AB6" s="2525"/>
      <c r="AC6" s="2525"/>
      <c r="AD6" s="2525"/>
      <c r="AE6" s="2526" t="s">
        <v>487</v>
      </c>
      <c r="AF6" s="2526"/>
      <c r="AG6" s="2526"/>
      <c r="AH6" s="2526"/>
      <c r="AI6" s="2527" t="s">
        <v>488</v>
      </c>
      <c r="AJ6" s="2527"/>
      <c r="AK6" s="2527"/>
      <c r="AL6" s="2527"/>
      <c r="AM6" s="2528" t="s">
        <v>489</v>
      </c>
      <c r="AN6" s="2528"/>
      <c r="AO6" s="2528"/>
      <c r="AP6" s="2528"/>
      <c r="AQ6" s="2520" t="s">
        <v>490</v>
      </c>
      <c r="AR6" s="2520"/>
      <c r="AS6" s="2520"/>
      <c r="AT6" s="2520"/>
      <c r="AU6" s="2523" t="s">
        <v>491</v>
      </c>
      <c r="AV6" s="2523"/>
      <c r="AW6" s="2523"/>
      <c r="AX6" s="2523"/>
      <c r="AY6" s="2521" t="s">
        <v>724</v>
      </c>
      <c r="AZ6" s="2521"/>
      <c r="BA6" s="2521"/>
      <c r="BB6" s="2521"/>
      <c r="BC6" s="2522" t="s">
        <v>725</v>
      </c>
      <c r="BD6" s="2522"/>
      <c r="BE6" s="2522"/>
      <c r="BF6" s="2522"/>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3" t="s">
        <v>1222</v>
      </c>
      <c r="B1" s="2453"/>
      <c r="C1" s="2453"/>
      <c r="D1" s="2453"/>
      <c r="E1" s="2453"/>
      <c r="F1" s="2453"/>
      <c r="G1" s="2453"/>
      <c r="H1" s="2453"/>
      <c r="I1" s="2453"/>
      <c r="J1" s="2453"/>
      <c r="K1" s="2453"/>
      <c r="L1" s="2453"/>
      <c r="M1" s="2453"/>
      <c r="N1" s="2453"/>
      <c r="O1" s="2453"/>
      <c r="P1" s="2453"/>
      <c r="Q1" s="2453"/>
      <c r="R1" s="2453"/>
      <c r="S1" s="2453"/>
      <c r="T1" s="2453"/>
      <c r="U1" s="2453"/>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55</v>
      </c>
      <c r="D2" s="50"/>
      <c r="E2" s="50"/>
      <c r="F2" s="50"/>
      <c r="G2" s="50"/>
      <c r="H2" s="50"/>
      <c r="I2" s="50"/>
      <c r="J2" s="50"/>
      <c r="K2" s="50"/>
      <c r="L2" s="50"/>
      <c r="M2" s="50"/>
      <c r="N2" s="50"/>
      <c r="O2" s="50"/>
      <c r="P2" s="50"/>
      <c r="Q2" s="50"/>
      <c r="R2" s="50"/>
      <c r="S2" s="50"/>
      <c r="T2" s="50"/>
      <c r="U2" s="50"/>
      <c r="V2" s="50"/>
    </row>
    <row r="3" spans="1:59" ht="37.5" customHeight="1" x14ac:dyDescent="0.25">
      <c r="A3" s="2538" t="s">
        <v>756</v>
      </c>
      <c r="B3" s="2540" t="s">
        <v>1339</v>
      </c>
      <c r="C3" s="2542" t="s">
        <v>1329</v>
      </c>
      <c r="D3" s="2543"/>
      <c r="E3" s="2543"/>
      <c r="F3" s="2543"/>
      <c r="G3" s="2543"/>
      <c r="H3" s="2544"/>
      <c r="I3" s="2545" t="s">
        <v>1330</v>
      </c>
      <c r="J3" s="2545"/>
      <c r="K3" s="2546"/>
      <c r="L3" s="50"/>
      <c r="M3" s="50"/>
      <c r="N3" s="50"/>
      <c r="O3" s="50"/>
      <c r="P3" s="50"/>
      <c r="Q3" s="50"/>
      <c r="R3" s="50"/>
      <c r="S3" s="50"/>
      <c r="T3" s="50"/>
      <c r="U3" s="50"/>
      <c r="V3" s="50"/>
    </row>
    <row r="4" spans="1:59" ht="45.95" customHeight="1" x14ac:dyDescent="0.25">
      <c r="A4" s="2539"/>
      <c r="B4" s="2541"/>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1.053639846743295</v>
      </c>
      <c r="K5" s="1066">
        <f>MAX(I5:J5)</f>
        <v>1.053639846743295</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1.053639846743295</v>
      </c>
      <c r="K6" s="1066">
        <f t="shared" ref="K6:K33" si="1">MAX(I6:J6)</f>
        <v>1.053639846743295</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1.053639846743295</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1.053639846743295</v>
      </c>
      <c r="K8" s="1066">
        <f t="shared" si="1"/>
        <v>1.053639846743295</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1.053639846743295</v>
      </c>
      <c r="K9" s="1066">
        <f t="shared" si="1"/>
        <v>1.053639846743295</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1.053639846743295</v>
      </c>
      <c r="K10" s="1066">
        <f t="shared" si="1"/>
        <v>1.053639846743295</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1.053639846743295</v>
      </c>
      <c r="K11" s="1066">
        <f t="shared" si="1"/>
        <v>1.053639846743295</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1.053639846743295</v>
      </c>
      <c r="K12" s="1066">
        <f t="shared" si="1"/>
        <v>1.053639846743295</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1.053639846743295</v>
      </c>
      <c r="K13" s="1066">
        <f t="shared" si="1"/>
        <v>1.053639846743295</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1.053639846743295</v>
      </c>
      <c r="K14" s="1066">
        <f t="shared" si="1"/>
        <v>1.053639846743295</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1.053639846743295</v>
      </c>
      <c r="K15" s="1066">
        <f>MAX(I15:J15)</f>
        <v>1.053639846743295</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1.053639846743295</v>
      </c>
      <c r="K16" s="1066">
        <f t="shared" si="1"/>
        <v>1.053639846743295</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1.053639846743295</v>
      </c>
      <c r="K17" s="1066">
        <f t="shared" si="1"/>
        <v>1.053639846743295</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1.053639846743295</v>
      </c>
      <c r="K18" s="1066">
        <f>MAX(I18:J18)</f>
        <v>1.053639846743295</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1.053639846743295</v>
      </c>
      <c r="K19" s="1066">
        <f t="shared" si="1"/>
        <v>1.053639846743295</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1.053639846743295</v>
      </c>
      <c r="K20" s="1066">
        <f t="shared" si="1"/>
        <v>1.053639846743295</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1.053639846743295</v>
      </c>
      <c r="K21" s="1066">
        <f t="shared" si="1"/>
        <v>1.053639846743295</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1.053639846743295</v>
      </c>
      <c r="K22" s="1066">
        <f>MAX(I22:J22)</f>
        <v>1.053639846743295</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1.053639846743295</v>
      </c>
      <c r="K23" s="1066">
        <f t="shared" si="1"/>
        <v>1.053639846743295</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1.053639846743295</v>
      </c>
      <c r="K24" s="1066">
        <f t="shared" si="1"/>
        <v>1.053639846743295</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1.053639846743295</v>
      </c>
      <c r="K25" s="1066">
        <f t="shared" si="1"/>
        <v>1.053639846743295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1.053639846743295</v>
      </c>
      <c r="K26" s="1066">
        <f t="shared" si="1"/>
        <v>1.053639846743295</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1.053639846743295</v>
      </c>
      <c r="K27" s="1066">
        <f>MAX(I27:J27)</f>
        <v>1.053639846743295</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1.053639846743295</v>
      </c>
      <c r="K28" s="1066">
        <f t="shared" si="1"/>
        <v>1.053639846743295</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1.053639846743295</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1.053639846743295</v>
      </c>
      <c r="K30" s="1066">
        <f t="shared" si="1"/>
        <v>1.053639846743295</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1.053639846743295</v>
      </c>
      <c r="K31" s="1066">
        <f t="shared" si="1"/>
        <v>1.053639846743295</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1.053639846743295</v>
      </c>
      <c r="J32" s="1065">
        <f>1*(списки!$C$56-'Расчет базового уровня'!$D$147)/(6*8.7)</f>
        <v>1.053639846743295</v>
      </c>
      <c r="K32" s="1066">
        <f>MAX(I32:J32)</f>
        <v>1.053639846743295</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1.053639846743295</v>
      </c>
      <c r="K33" s="1066">
        <f t="shared" si="1"/>
        <v>1.053639846743295</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1.053639846743295</v>
      </c>
    </row>
    <row r="45" spans="1:23" x14ac:dyDescent="0.25">
      <c r="A45" s="71" t="s">
        <v>859</v>
      </c>
      <c r="B45" s="1084">
        <f>0.6*B44</f>
        <v>0.63218390804597702</v>
      </c>
    </row>
    <row r="46" spans="1:23" ht="15" customHeight="1" x14ac:dyDescent="0.3">
      <c r="A46" s="71" t="s">
        <v>858</v>
      </c>
      <c r="B46" s="1084">
        <f>IF(C2&gt;25,IF(C2&gt;44, IF(C2&gt;49,0.52,0.38),0.34), 0.17)</f>
        <v>0.52</v>
      </c>
      <c r="I46" s="1085"/>
    </row>
    <row r="47" spans="1:23" x14ac:dyDescent="0.25">
      <c r="A47" s="249" t="s">
        <v>1293</v>
      </c>
      <c r="B47" s="1086">
        <f>1*(списки!$C$56-'Расчет базового уровня'!$D$147)/(4.5*8.7)</f>
        <v>1.4048531289910602</v>
      </c>
    </row>
    <row r="48" spans="1:23" x14ac:dyDescent="0.25">
      <c r="A48" s="249" t="s">
        <v>1297</v>
      </c>
      <c r="B48" s="1086">
        <f>1*(списки!$C$56-'Расчет базового уровня'!$D$147)/(6*8.7)</f>
        <v>1.053639846743295</v>
      </c>
    </row>
    <row r="49" spans="1:3" x14ac:dyDescent="0.25">
      <c r="A49" s="249" t="s">
        <v>1298</v>
      </c>
      <c r="B49" s="1086">
        <f>1*(списки!$C$56-'Расчет базового уровня'!$D$147)/(3*8.7)</f>
        <v>2.1072796934865901</v>
      </c>
    </row>
    <row r="50" spans="1:3" ht="17.25" customHeight="1" x14ac:dyDescent="0.25">
      <c r="A50" s="249" t="s">
        <v>1282</v>
      </c>
      <c r="B50" s="1086">
        <f>0.4*(списки!$C$56-'Расчет базового уровня'!$D$147)/(4*8.7)</f>
        <v>0.63218390804597702</v>
      </c>
    </row>
    <row r="51" spans="1:3" x14ac:dyDescent="0.25">
      <c r="A51" s="249" t="s">
        <v>1278</v>
      </c>
      <c r="B51" s="1086">
        <f>B44</f>
        <v>1.053639846743295</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32" t="s">
        <v>952</v>
      </c>
      <c r="B74" s="2533"/>
      <c r="C74" s="2534"/>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32" t="s">
        <v>953</v>
      </c>
      <c r="B79" s="2533"/>
      <c r="C79" s="2534"/>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35" t="s">
        <v>960</v>
      </c>
      <c r="B90" s="2536"/>
      <c r="C90" s="2537"/>
      <c r="D90" s="51"/>
      <c r="E90" s="51"/>
      <c r="F90" s="51"/>
      <c r="G90" s="51"/>
      <c r="H90" s="51"/>
      <c r="I90" s="51"/>
      <c r="J90" s="51"/>
      <c r="K90" s="51"/>
      <c r="L90" s="51"/>
      <c r="M90" s="51"/>
      <c r="N90" s="51"/>
      <c r="O90" s="51"/>
    </row>
    <row r="91" spans="1:15" s="1108" customFormat="1" ht="13.5" customHeight="1" x14ac:dyDescent="0.25">
      <c r="A91" s="2535" t="s">
        <v>961</v>
      </c>
      <c r="B91" s="2536"/>
      <c r="C91" s="2537"/>
      <c r="D91" s="51"/>
      <c r="E91" s="51"/>
      <c r="F91" s="51"/>
      <c r="G91" s="51"/>
      <c r="H91" s="51"/>
      <c r="I91" s="51"/>
      <c r="J91" s="51"/>
      <c r="K91" s="51"/>
      <c r="L91" s="51"/>
      <c r="M91" s="51"/>
      <c r="N91" s="51"/>
      <c r="O91" s="51"/>
    </row>
    <row r="92" spans="1:15" s="1108" customFormat="1" ht="13.5" customHeight="1" x14ac:dyDescent="0.25">
      <c r="A92" s="2535" t="s">
        <v>962</v>
      </c>
      <c r="B92" s="2536"/>
      <c r="C92" s="2537"/>
      <c r="D92" s="51"/>
      <c r="E92" s="51"/>
      <c r="F92" s="51"/>
      <c r="G92" s="51"/>
      <c r="H92" s="51"/>
      <c r="I92" s="51"/>
      <c r="J92" s="51"/>
      <c r="K92" s="51"/>
      <c r="L92" s="51"/>
      <c r="M92" s="51"/>
      <c r="N92" s="51"/>
      <c r="O92" s="51"/>
    </row>
    <row r="93" spans="1:15" s="1108" customFormat="1" ht="13.5" customHeight="1" x14ac:dyDescent="0.25">
      <c r="A93" s="2529" t="s">
        <v>963</v>
      </c>
      <c r="B93" s="2530"/>
      <c r="C93" s="2531"/>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7" t="s">
        <v>895</v>
      </c>
      <c r="B97" s="2548" t="s">
        <v>988</v>
      </c>
      <c r="C97" s="2548"/>
      <c r="D97" s="2548"/>
      <c r="E97" s="2548" t="s">
        <v>989</v>
      </c>
      <c r="F97" s="2548"/>
      <c r="G97" s="2548"/>
      <c r="H97" s="2548"/>
    </row>
    <row r="98" spans="1:8" s="1108" customFormat="1" ht="13.5" customHeight="1" x14ac:dyDescent="0.25">
      <c r="A98" s="2547"/>
      <c r="B98" s="1119" t="s">
        <v>990</v>
      </c>
      <c r="C98" s="2548" t="s">
        <v>992</v>
      </c>
      <c r="D98" s="2555" t="s">
        <v>993</v>
      </c>
      <c r="E98" s="2548" t="s">
        <v>995</v>
      </c>
      <c r="F98" s="2548"/>
      <c r="G98" s="2548" t="s">
        <v>998</v>
      </c>
      <c r="H98" s="2548"/>
    </row>
    <row r="99" spans="1:8" s="1108" customFormat="1" ht="13.5" customHeight="1" x14ac:dyDescent="0.25">
      <c r="A99" s="2547"/>
      <c r="B99" s="1119" t="s">
        <v>991</v>
      </c>
      <c r="C99" s="2548"/>
      <c r="D99" s="2556"/>
      <c r="E99" s="2548" t="s">
        <v>996</v>
      </c>
      <c r="F99" s="2548"/>
      <c r="G99" s="2548"/>
      <c r="H99" s="2548"/>
    </row>
    <row r="100" spans="1:8" s="1108" customFormat="1" ht="13.5" customHeight="1" x14ac:dyDescent="0.25">
      <c r="A100" s="2547"/>
      <c r="B100" s="1120"/>
      <c r="C100" s="2548"/>
      <c r="D100" s="2557"/>
      <c r="E100" s="2548" t="s">
        <v>997</v>
      </c>
      <c r="F100" s="2548"/>
      <c r="G100" s="2548"/>
      <c r="H100" s="2548"/>
    </row>
    <row r="101" spans="1:8" s="1108" customFormat="1" ht="13.5" customHeight="1" x14ac:dyDescent="0.25">
      <c r="A101" s="2547"/>
      <c r="B101" s="1120"/>
      <c r="C101" s="2548"/>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50" t="s">
        <v>999</v>
      </c>
      <c r="B103" s="2550"/>
      <c r="C103" s="2550"/>
      <c r="D103" s="2550"/>
      <c r="E103" s="2550"/>
      <c r="F103" s="2550"/>
      <c r="G103" s="2550"/>
      <c r="H103" s="2550"/>
    </row>
    <row r="104" spans="1:8" s="1108" customFormat="1" ht="13.5" customHeight="1" x14ac:dyDescent="0.25">
      <c r="A104" s="2549" t="s">
        <v>1000</v>
      </c>
      <c r="B104" s="2549"/>
      <c r="C104" s="2549"/>
      <c r="D104" s="2549"/>
      <c r="E104" s="2549"/>
      <c r="F104" s="2549"/>
      <c r="G104" s="2549"/>
      <c r="H104" s="2549"/>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48" t="s">
        <v>1005</v>
      </c>
      <c r="B126" s="1119" t="s">
        <v>1022</v>
      </c>
      <c r="C126" s="2551">
        <v>1.26</v>
      </c>
      <c r="D126" s="2552">
        <v>4.1000000000000002E-2</v>
      </c>
      <c r="E126" s="2548">
        <v>2</v>
      </c>
      <c r="F126" s="2548">
        <v>10</v>
      </c>
      <c r="G126" s="2548">
        <v>0.05</v>
      </c>
      <c r="H126" s="2548">
        <v>5.1999999999999998E-2</v>
      </c>
    </row>
    <row r="127" spans="1:8" s="1108" customFormat="1" ht="13.5" customHeight="1" x14ac:dyDescent="0.25">
      <c r="A127" s="2548"/>
      <c r="B127" s="1119" t="s">
        <v>1023</v>
      </c>
      <c r="C127" s="2551"/>
      <c r="D127" s="2552"/>
      <c r="E127" s="2548"/>
      <c r="F127" s="2548"/>
      <c r="G127" s="2548"/>
      <c r="H127" s="2548"/>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48" t="s">
        <v>1029</v>
      </c>
      <c r="B139" s="1119" t="s">
        <v>1030</v>
      </c>
      <c r="C139" s="1123">
        <v>1.806</v>
      </c>
      <c r="D139" s="1124">
        <v>3.9E-2</v>
      </c>
      <c r="E139" s="1119">
        <v>0</v>
      </c>
      <c r="F139" s="1119">
        <v>0</v>
      </c>
      <c r="G139" s="1119">
        <v>3.9E-2</v>
      </c>
      <c r="H139" s="1119" t="s">
        <v>1035</v>
      </c>
    </row>
    <row r="140" spans="1:8" s="1108" customFormat="1" ht="13.5" customHeight="1" x14ac:dyDescent="0.25">
      <c r="A140" s="2548"/>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49" t="s">
        <v>1038</v>
      </c>
      <c r="B143" s="2549"/>
      <c r="C143" s="2549"/>
      <c r="D143" s="2549"/>
      <c r="E143" s="2549"/>
      <c r="F143" s="2549"/>
      <c r="G143" s="2549"/>
      <c r="H143" s="2549"/>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49" t="s">
        <v>1055</v>
      </c>
      <c r="B185" s="2549"/>
      <c r="C185" s="2549"/>
      <c r="D185" s="2549"/>
      <c r="E185" s="2549"/>
      <c r="F185" s="2549"/>
      <c r="G185" s="2549"/>
      <c r="H185" s="2549"/>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49" t="s">
        <v>1065</v>
      </c>
      <c r="B208" s="2549"/>
      <c r="C208" s="2549"/>
      <c r="D208" s="2549"/>
      <c r="E208" s="2549"/>
      <c r="F208" s="2549"/>
      <c r="G208" s="2549"/>
      <c r="H208" s="2549"/>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49" t="s">
        <v>1073</v>
      </c>
      <c r="B237" s="2549"/>
      <c r="C237" s="2549"/>
      <c r="D237" s="2549"/>
      <c r="E237" s="2549"/>
      <c r="F237" s="2549"/>
      <c r="G237" s="2549"/>
      <c r="H237" s="2549"/>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50" t="s">
        <v>1078</v>
      </c>
      <c r="B245" s="2550"/>
      <c r="C245" s="2550"/>
      <c r="D245" s="2550"/>
      <c r="E245" s="2550"/>
      <c r="F245" s="2550"/>
      <c r="G245" s="2550"/>
      <c r="H245" s="2550"/>
    </row>
    <row r="246" spans="1:8" s="1108" customFormat="1" ht="13.5" customHeight="1" x14ac:dyDescent="0.25">
      <c r="A246" s="2553" t="s">
        <v>1079</v>
      </c>
      <c r="B246" s="2553"/>
      <c r="C246" s="2553"/>
      <c r="D246" s="2553"/>
      <c r="E246" s="2553"/>
      <c r="F246" s="2553"/>
      <c r="G246" s="2553"/>
      <c r="H246" s="2553"/>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49" t="s">
        <v>1083</v>
      </c>
      <c r="B261" s="2549"/>
      <c r="C261" s="2549"/>
      <c r="D261" s="2549"/>
      <c r="E261" s="2549"/>
      <c r="F261" s="2549"/>
      <c r="G261" s="2549"/>
      <c r="H261" s="2549"/>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49" t="s">
        <v>1095</v>
      </c>
      <c r="B308" s="2549"/>
      <c r="C308" s="2549"/>
      <c r="D308" s="2549"/>
      <c r="E308" s="2549"/>
      <c r="F308" s="2549"/>
      <c r="G308" s="2549"/>
      <c r="H308" s="2549"/>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58" t="s">
        <v>1099</v>
      </c>
      <c r="B324" s="2558"/>
      <c r="C324" s="2558"/>
      <c r="D324" s="2558"/>
      <c r="E324" s="2558"/>
      <c r="F324" s="2558"/>
      <c r="G324" s="2558"/>
      <c r="H324" s="2558"/>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58" t="s">
        <v>1106</v>
      </c>
      <c r="B332" s="2558"/>
      <c r="C332" s="2558"/>
      <c r="D332" s="2558"/>
      <c r="E332" s="2558"/>
      <c r="F332" s="2558"/>
      <c r="G332" s="2558"/>
      <c r="H332" s="2558"/>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48">
        <v>1400</v>
      </c>
      <c r="C337" s="2551">
        <v>0.88</v>
      </c>
      <c r="D337" s="2548">
        <v>0.52</v>
      </c>
      <c r="E337" s="2548">
        <v>2</v>
      </c>
      <c r="F337" s="2548">
        <v>4</v>
      </c>
      <c r="G337" s="2548">
        <v>0.64</v>
      </c>
      <c r="H337" s="2548">
        <v>0.76</v>
      </c>
    </row>
    <row r="338" spans="1:10" s="1108" customFormat="1" ht="13.5" customHeight="1" x14ac:dyDescent="0.25">
      <c r="A338" s="1119" t="s">
        <v>1112</v>
      </c>
      <c r="B338" s="2548"/>
      <c r="C338" s="2551"/>
      <c r="D338" s="2548"/>
      <c r="E338" s="2548"/>
      <c r="F338" s="2548"/>
      <c r="G338" s="2548"/>
      <c r="H338" s="2548"/>
    </row>
    <row r="339" spans="1:10" s="1108" customFormat="1" ht="13.5" customHeight="1" x14ac:dyDescent="0.25">
      <c r="A339" s="2549" t="s">
        <v>1113</v>
      </c>
      <c r="B339" s="2549"/>
      <c r="C339" s="2549"/>
      <c r="D339" s="2549"/>
      <c r="E339" s="2549"/>
      <c r="F339" s="2549"/>
      <c r="G339" s="2549"/>
      <c r="H339" s="2549"/>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50" t="s">
        <v>1121</v>
      </c>
      <c r="B347" s="2550"/>
      <c r="C347" s="2550"/>
      <c r="D347" s="2550"/>
      <c r="E347" s="2550"/>
      <c r="F347" s="2550"/>
      <c r="G347" s="2550"/>
      <c r="H347" s="2550"/>
      <c r="J347" s="1108">
        <v>4.1000000000000002E-2</v>
      </c>
    </row>
    <row r="348" spans="1:10" s="1108" customFormat="1" ht="13.5" customHeight="1" x14ac:dyDescent="0.25">
      <c r="A348" s="2549" t="s">
        <v>1122</v>
      </c>
      <c r="B348" s="2549"/>
      <c r="C348" s="2549"/>
      <c r="D348" s="2549"/>
      <c r="E348" s="2549"/>
      <c r="F348" s="2549"/>
      <c r="G348" s="2549"/>
      <c r="H348" s="2549"/>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49" t="s">
        <v>1128</v>
      </c>
      <c r="B354" s="2549"/>
      <c r="C354" s="2549"/>
      <c r="D354" s="2549"/>
      <c r="E354" s="2549"/>
      <c r="F354" s="2549"/>
      <c r="G354" s="2549"/>
      <c r="H354" s="2549"/>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54" t="s">
        <v>1133</v>
      </c>
      <c r="B367" s="2554"/>
      <c r="C367" s="2554"/>
      <c r="D367" s="2554"/>
      <c r="E367" s="2554"/>
      <c r="F367" s="2554"/>
      <c r="G367" s="2554"/>
      <c r="H367" s="2554"/>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49" t="s">
        <v>1140</v>
      </c>
      <c r="B380" s="2549"/>
      <c r="C380" s="2549"/>
      <c r="D380" s="2549"/>
      <c r="E380" s="2549"/>
      <c r="F380" s="2549"/>
      <c r="G380" s="2549"/>
      <c r="H380" s="2549"/>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1.9474999999999996</v>
      </c>
      <c r="C412" s="260">
        <f>B409+B408*Климатология!$I$2</f>
        <v>3.4081250000000001</v>
      </c>
    </row>
    <row r="413" spans="1:5" x14ac:dyDescent="0.25">
      <c r="A413" s="71" t="s">
        <v>1438</v>
      </c>
      <c r="B413" s="260">
        <f>C399+C398*Климатология!$I$2</f>
        <v>3.1081250000000002</v>
      </c>
      <c r="C413" s="260">
        <f>C409+C408*Климатология!$I$2</f>
        <v>5.0687499999999996</v>
      </c>
    </row>
    <row r="414" spans="1:5" x14ac:dyDescent="0.25">
      <c r="A414" s="71" t="s">
        <v>1439</v>
      </c>
      <c r="B414" s="260">
        <f>D399+D398*Климатология!$I$2</f>
        <v>2.7212500000000004</v>
      </c>
      <c r="C414" s="260">
        <f>D409+D408*Климатология!$I$2</f>
        <v>4.4818750000000005</v>
      </c>
    </row>
    <row r="415" spans="1:5" x14ac:dyDescent="0.25">
      <c r="A415" s="71" t="s">
        <v>1440</v>
      </c>
      <c r="B415" s="260">
        <f>E399+E398*Климатология!$I$2</f>
        <v>0.44343750000000004</v>
      </c>
      <c r="C415" s="260">
        <f>E409+E408*Климатология!$I$2</f>
        <v>0.44343750000000004</v>
      </c>
    </row>
  </sheetData>
  <sheetProtection password="ECB1" sheet="1" objects="1" scenarios="1"/>
  <mergeCells count="53">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 ref="A237:H237"/>
    <mergeCell ref="A245:H245"/>
    <mergeCell ref="A246:H246"/>
    <mergeCell ref="A261:H261"/>
    <mergeCell ref="A308:H308"/>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97:A101"/>
    <mergeCell ref="B97:D97"/>
    <mergeCell ref="E97:H97"/>
    <mergeCell ref="C98:C101"/>
    <mergeCell ref="E98:F98"/>
    <mergeCell ref="E99:F99"/>
    <mergeCell ref="E100:F100"/>
    <mergeCell ref="G98:H100"/>
    <mergeCell ref="A1:U1"/>
    <mergeCell ref="A93:C93"/>
    <mergeCell ref="A74:C74"/>
    <mergeCell ref="A79:C79"/>
    <mergeCell ref="A90:C90"/>
    <mergeCell ref="A91:C91"/>
    <mergeCell ref="A92:C92"/>
    <mergeCell ref="A3:A4"/>
    <mergeCell ref="B3:B4"/>
    <mergeCell ref="C3:H3"/>
    <mergeCell ref="I3:K3"/>
  </mergeCells>
  <pageMargins left="0.7" right="0.7" top="0.75" bottom="0.75" header="0.3" footer="0.3"/>
  <pageSetup paperSize="9" orientation="portrait"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3" t="s">
        <v>1397</v>
      </c>
      <c r="B1" s="2453"/>
      <c r="C1" s="2453"/>
      <c r="D1" s="2453"/>
      <c r="E1" s="2453"/>
      <c r="F1" s="2453"/>
      <c r="G1" s="2453"/>
      <c r="H1" s="2453"/>
      <c r="I1" s="2453"/>
      <c r="J1" s="2453"/>
      <c r="K1" s="2453"/>
      <c r="L1" s="2453"/>
      <c r="M1" s="2453"/>
      <c r="N1" s="2453"/>
      <c r="O1" s="2453"/>
      <c r="P1" s="2453"/>
      <c r="Q1" s="2453"/>
      <c r="R1" s="2453"/>
      <c r="S1" s="2453"/>
      <c r="T1" s="2453"/>
      <c r="U1" s="2453"/>
      <c r="V1" s="2453"/>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59" t="s">
        <v>891</v>
      </c>
      <c r="G2" s="2560"/>
      <c r="H2" s="2559" t="s">
        <v>892</v>
      </c>
      <c r="I2" s="2560"/>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1</v>
      </c>
      <c r="D8" s="51">
        <f>IF(AND($H$9=1,$H$11=0,$H$4=1),1,0)</f>
        <v>0</v>
      </c>
      <c r="E8" s="59" t="s">
        <v>739</v>
      </c>
      <c r="F8" s="55">
        <v>1</v>
      </c>
      <c r="G8" s="55"/>
      <c r="H8" s="55"/>
      <c r="I8" s="56"/>
    </row>
    <row r="9" spans="1:60" ht="23.45" customHeight="1" x14ac:dyDescent="0.25">
      <c r="A9" s="57" t="s">
        <v>770</v>
      </c>
      <c r="B9" s="58">
        <f>0.5</f>
        <v>0.5</v>
      </c>
      <c r="C9" s="51">
        <f>IF(AND($F$10=1,$F$11=0,$F$4=1),1,0)</f>
        <v>0</v>
      </c>
      <c r="D9" s="51">
        <f>IF(AND($H$10=1,$H$11=0,$H$4=1),1,0)</f>
        <v>0</v>
      </c>
      <c r="E9" s="59" t="s">
        <v>737</v>
      </c>
      <c r="F9" s="55">
        <f>IF(F8=1,1,0)</f>
        <v>1</v>
      </c>
      <c r="G9" s="55"/>
      <c r="H9" s="55">
        <f>F9</f>
        <v>1</v>
      </c>
      <c r="I9" s="56"/>
    </row>
    <row r="10" spans="1:60" ht="21" customHeight="1" x14ac:dyDescent="0.25">
      <c r="A10" s="57" t="s">
        <v>771</v>
      </c>
      <c r="B10" s="58">
        <f>0.85</f>
        <v>0.85</v>
      </c>
      <c r="C10" s="51">
        <f>IF(AND($F$9=1,$F$11=1,$F$4=1),1,0)</f>
        <v>0</v>
      </c>
      <c r="D10" s="51">
        <f>IF(AND($H$9=1,$H$11=1,$H$4=1),1,0)</f>
        <v>0</v>
      </c>
      <c r="E10" s="59" t="s">
        <v>738</v>
      </c>
      <c r="F10" s="55">
        <f>IF(F8=2,1,0)</f>
        <v>0</v>
      </c>
      <c r="G10" s="55"/>
      <c r="H10" s="55">
        <f>F10</f>
        <v>0</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1</v>
      </c>
      <c r="E12" s="60"/>
    </row>
    <row r="13" spans="1:60" ht="29.45" customHeight="1" x14ac:dyDescent="0.25">
      <c r="A13" s="57" t="s">
        <v>774</v>
      </c>
      <c r="B13" s="58">
        <f>0.7</f>
        <v>0.7</v>
      </c>
      <c r="C13" s="51">
        <f>IF(AND($F$10=1,$F$11=0,$F$5=1),1,0)</f>
        <v>0</v>
      </c>
      <c r="D13" s="51">
        <f>IF(AND($H$10=1,$H$11=0,$H$5=1),1,0)</f>
        <v>0</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1</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3"/>
      <c r="B1" s="2453"/>
      <c r="C1" s="2453"/>
      <c r="D1" s="2453"/>
      <c r="E1" s="2453"/>
      <c r="F1" s="2453"/>
      <c r="G1" s="2453"/>
      <c r="H1" s="2453"/>
      <c r="I1" s="2453"/>
      <c r="J1" s="2453"/>
      <c r="K1" s="2453"/>
      <c r="L1" s="2453"/>
      <c r="M1" s="2453"/>
      <c r="N1" s="2453"/>
      <c r="O1" s="2453"/>
      <c r="P1" s="2453"/>
      <c r="Q1" s="2453"/>
      <c r="R1" s="2453"/>
      <c r="S1" s="2453"/>
      <c r="T1" s="2453"/>
      <c r="U1" s="2453"/>
      <c r="V1" s="2453"/>
      <c r="W1" s="2453"/>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2447</v>
      </c>
      <c r="C11" s="71"/>
      <c r="I11" s="51" t="s">
        <v>1838</v>
      </c>
      <c r="J11" s="51">
        <v>58</v>
      </c>
    </row>
    <row r="12" spans="1:61" x14ac:dyDescent="0.25">
      <c r="A12" s="75"/>
      <c r="B12" s="71" t="s">
        <v>2446</v>
      </c>
      <c r="C12" s="71"/>
      <c r="I12" s="51" t="s">
        <v>2446</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2336</v>
      </c>
      <c r="C18" s="76"/>
      <c r="D18" s="76"/>
      <c r="E18" s="76"/>
    </row>
    <row r="19" spans="1:6" ht="13.5" customHeight="1" x14ac:dyDescent="0.25">
      <c r="A19" s="77" t="s">
        <v>975</v>
      </c>
      <c r="B19" s="78">
        <f>'Ввод исходных данных'!D152*'Ввод исходных данных'!F152*списки!C66/1000</f>
        <v>288</v>
      </c>
      <c r="C19" s="76"/>
      <c r="D19" s="76"/>
      <c r="E19" s="76"/>
    </row>
    <row r="20" spans="1:6" ht="13.5" customHeight="1" x14ac:dyDescent="0.25">
      <c r="A20" s="77" t="s">
        <v>976</v>
      </c>
      <c r="B20" s="78">
        <f>'Ввод исходных данных'!D153*'Ввод исходных данных'!F153*списки!C67/1000</f>
        <v>0</v>
      </c>
      <c r="C20" s="76"/>
      <c r="D20" s="76"/>
      <c r="E20" s="76"/>
      <c r="F20" s="76"/>
    </row>
    <row r="21" spans="1:6" ht="13.5" customHeight="1" x14ac:dyDescent="0.25">
      <c r="A21" s="77" t="s">
        <v>1408</v>
      </c>
      <c r="B21" s="79">
        <f>'Ввод исходных данных'!D154*'Ввод исходных данных'!F154*списки!C68/1000</f>
        <v>30</v>
      </c>
      <c r="C21" s="76"/>
      <c r="D21" s="76"/>
      <c r="E21" s="76"/>
      <c r="F21" s="76"/>
    </row>
    <row r="22" spans="1:6" ht="13.5" customHeight="1" x14ac:dyDescent="0.25">
      <c r="A22" s="77" t="s">
        <v>1409</v>
      </c>
      <c r="B22" s="79">
        <f>'Ввод исходных данных'!D155*'Ввод исходных данных'!F155*списки!C69/1000</f>
        <v>0</v>
      </c>
      <c r="C22" s="76"/>
      <c r="D22" s="76"/>
      <c r="E22" s="76"/>
      <c r="F22" s="76"/>
    </row>
    <row r="23" spans="1:6" ht="16.5" customHeight="1" x14ac:dyDescent="0.25">
      <c r="A23" s="77" t="s">
        <v>2071</v>
      </c>
      <c r="B23" s="79">
        <f>'Ввод исходных данных'!D156*'Ввод исходных данных'!F156*списки!C70/1000</f>
        <v>400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4" t="s">
        <v>818</v>
      </c>
    </row>
    <row r="28" spans="1:6" x14ac:dyDescent="0.25">
      <c r="A28" s="88" t="s">
        <v>825</v>
      </c>
      <c r="B28" s="92">
        <f>6.5</f>
        <v>6.5</v>
      </c>
      <c r="C28" s="2565" t="s">
        <v>826</v>
      </c>
      <c r="D28" s="93"/>
      <c r="E28" s="2564"/>
    </row>
    <row r="29" spans="1:6" x14ac:dyDescent="0.25">
      <c r="A29" s="88" t="s">
        <v>827</v>
      </c>
      <c r="B29" s="92">
        <f>25.2</f>
        <v>25.2</v>
      </c>
      <c r="C29" s="2565"/>
      <c r="D29" s="93"/>
      <c r="E29" s="2564"/>
    </row>
    <row r="30" spans="1:6" ht="25.5" customHeight="1" x14ac:dyDescent="0.25">
      <c r="A30" s="94" t="s">
        <v>828</v>
      </c>
      <c r="B30" s="96">
        <f>11</f>
        <v>11</v>
      </c>
      <c r="C30" s="2566"/>
      <c r="D30" s="97"/>
      <c r="E30" s="2564"/>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528.5854132230545</v>
      </c>
      <c r="D33" s="99">
        <f>('Расчет после реализации'!F146+'Расчет после реализации'!F153-'Расчет после реализации'!F150)*'Расчет после реализации'!D160</f>
        <v>528.5854132230545</v>
      </c>
      <c r="E33" s="51" t="s">
        <v>1524</v>
      </c>
    </row>
    <row r="34" spans="1:23" x14ac:dyDescent="0.25">
      <c r="A34" s="66"/>
      <c r="B34" s="67" t="s">
        <v>1522</v>
      </c>
      <c r="C34" s="100">
        <f>3.6*C33/('Ввод исходных данных'!$D$197-'Ввод исходных данных'!$D$198)/4.2</f>
        <v>18.122928453361869</v>
      </c>
      <c r="D34" s="100">
        <f>3.6*D33/('Ввод исходных данных'!$D$197-'Ввод исходных данных'!$D$198)/4.2</f>
        <v>18.122928453361869</v>
      </c>
      <c r="E34" s="69" t="s">
        <v>879</v>
      </c>
    </row>
    <row r="35" spans="1:23" x14ac:dyDescent="0.25">
      <c r="A35" s="53" t="s">
        <v>861</v>
      </c>
      <c r="B35" s="67" t="s">
        <v>1523</v>
      </c>
      <c r="C35" s="101">
        <f ca="1">C34*$C$42*0.00272/$C$43*(24*'Ввод исходных данных'!D209)</f>
        <v>2403.3115744817551</v>
      </c>
      <c r="D35" s="101">
        <f ca="1">D34*$C$42*0.00272/$C$43*(24*'Ввод исходных данных'!D209)</f>
        <v>2403.3115744817551</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48431.899505943031</v>
      </c>
      <c r="D40" s="112" t="s">
        <v>871</v>
      </c>
      <c r="E40" s="117">
        <f ca="1">'Расчет базового уровня'!I35/('Ввод исходных данных'!$D$197-'Ввод исходных данных'!$D$198)/4.2*3.6</f>
        <v>9174.3524625779683</v>
      </c>
      <c r="F40" s="117">
        <f ca="1">'Расчет базового уровня'!L35/('Ввод исходных данных'!$D$197-'Ввод исходных данных'!$D$198)/4.2*3.6</f>
        <v>7856.144078011499</v>
      </c>
      <c r="G40" s="117">
        <f ca="1">'Расчет базового уровня'!O35/('Ввод исходных данных'!$D$197-'Ввод исходных данных'!$D$198)/4.2*3.6</f>
        <v>6375.0403237839973</v>
      </c>
      <c r="H40" s="117">
        <f ca="1">'Расчет базового уровня'!R35/('Ввод исходных данных'!$D$197-'Ввод исходных данных'!$D$198)/4.2*3.6</f>
        <v>3863.8519491988118</v>
      </c>
      <c r="I40" s="117">
        <f ca="1">'Расчет базового уровня'!U35/('Ввод исходных данных'!$D$197-'Ввод исходных данных'!$D$198)/4.2*3.6</f>
        <v>141.28842253627514</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358.52906624523405</v>
      </c>
      <c r="N40" s="117">
        <f ca="1">'Расчет базового уровня'!AJ35/('Ввод исходных данных'!$D$197-'Ввод исходных данных'!$D$198)/4.2*3.6</f>
        <v>4350.006010613889</v>
      </c>
      <c r="O40" s="117">
        <f ca="1">'Расчет базового уровня'!AM35/('Ввод исходных данных'!$D$197-'Ввод исходных данных'!$D$198)/4.2*3.6</f>
        <v>6486.4058746989976</v>
      </c>
      <c r="P40" s="117">
        <f ca="1">'Расчет базового уровня'!AP35/('Ввод исходных данных'!$D$197-'Ввод исходных данных'!$D$198)/4.2*3.6</f>
        <v>8400.074636954103</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42725.296929802593</v>
      </c>
      <c r="D41" s="123"/>
      <c r="E41" s="120">
        <f ca="1">'Расчет после реализации'!J35/('Ввод исходных данных'!$D$197-'Ввод исходных данных'!$D$198)/4.2*3.6</f>
        <v>8286.0818842546578</v>
      </c>
      <c r="F41" s="120">
        <f ca="1">'Расчет после реализации'!L35/('Ввод исходных данных'!$D$197-'Ввод исходных данных'!$D$198)/4.2*3.6</f>
        <v>7547.9561650673795</v>
      </c>
      <c r="G41" s="120">
        <f ca="1">'Расчет после реализации'!N35/('Ввод исходных данных'!$D$197-'Ввод исходных данных'!$D$198)/4.2*3.6</f>
        <v>7582.7093721076671</v>
      </c>
      <c r="H41" s="120">
        <f ca="1">'Расчет после реализации'!P35/('Ввод исходных данных'!$D$197-'Ввод исходных данных'!$D$198)/4.2*3.6</f>
        <v>4123.2254143581704</v>
      </c>
      <c r="I41" s="120">
        <f ca="1">'Расчет после реализации'!R35/('Ввод исходных данных'!$D$197-'Ввод исходных данных'!$D$198)/4.2*3.6</f>
        <v>1062.8213120747519</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855.66154113400546</v>
      </c>
      <c r="N41" s="120">
        <f ca="1">'Расчет после реализации'!AB35/('Ввод исходных данных'!$D$197-'Ввод исходных данных'!$D$198)/4.2*3.6</f>
        <v>4171.3265123929968</v>
      </c>
      <c r="O41" s="120">
        <f ca="1">'Расчет после реализации'!AD35/('Ввод исходных данных'!$D$197-'Ввод исходных данных'!$D$198)/4.2*3.6</f>
        <v>5190.0831097494174</v>
      </c>
      <c r="P41" s="120">
        <f ca="1">'Расчет после реализации'!AF35/('Ввод исходных данных'!$D$197-'Ввод исходных данных'!$D$198)/4.2*3.6</f>
        <v>2739.9215472653141</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1881.925237945215</v>
      </c>
      <c r="D46" s="135"/>
      <c r="E46" s="133">
        <f t="shared" ref="E46:P46" ca="1" si="0">0.00272*E40*10/$C$43</f>
        <v>356.48912426017256</v>
      </c>
      <c r="F46" s="133">
        <f t="shared" ca="1" si="0"/>
        <v>305.26731274558966</v>
      </c>
      <c r="G46" s="133">
        <f t="shared" ca="1" si="0"/>
        <v>247.71585258132109</v>
      </c>
      <c r="H46" s="133">
        <f t="shared" ca="1" si="0"/>
        <v>150.13824716886816</v>
      </c>
      <c r="I46" s="133">
        <f t="shared" ca="1" si="0"/>
        <v>5.4900644185524055</v>
      </c>
      <c r="J46" s="133">
        <f t="shared" si="0"/>
        <v>0</v>
      </c>
      <c r="K46" s="133">
        <f t="shared" si="0"/>
        <v>0</v>
      </c>
      <c r="L46" s="133">
        <f t="shared" si="0"/>
        <v>0</v>
      </c>
      <c r="M46" s="133">
        <f t="shared" ca="1" si="0"/>
        <v>13.931415145529098</v>
      </c>
      <c r="N46" s="133">
        <f t="shared" ca="1" si="0"/>
        <v>169.028804983854</v>
      </c>
      <c r="O46" s="133">
        <f t="shared" ca="1" si="0"/>
        <v>252.04319970258967</v>
      </c>
      <c r="P46" s="133">
        <f t="shared" ca="1" si="0"/>
        <v>326.402900178788</v>
      </c>
    </row>
    <row r="47" spans="1:23" ht="25.5" x14ac:dyDescent="0.25">
      <c r="A47" s="132" t="s">
        <v>1527</v>
      </c>
      <c r="B47" s="110"/>
      <c r="C47" s="133">
        <f ca="1">0.00272*C41*10/$C$43</f>
        <v>1660.1829664151869</v>
      </c>
      <c r="D47" s="135"/>
      <c r="E47" s="133">
        <f t="shared" ref="E47:P47" ca="1" si="1">0.00272*E41*10/$C$43</f>
        <v>321.97346750246669</v>
      </c>
      <c r="F47" s="133">
        <f t="shared" ca="1" si="1"/>
        <v>293.29201098547532</v>
      </c>
      <c r="G47" s="133">
        <f t="shared" ca="1" si="1"/>
        <v>294.64242131618369</v>
      </c>
      <c r="H47" s="133">
        <f t="shared" ca="1" si="1"/>
        <v>160.21675895791753</v>
      </c>
      <c r="I47" s="133">
        <f t="shared" ca="1" si="1"/>
        <v>41.298199554904649</v>
      </c>
      <c r="J47" s="133">
        <f t="shared" ca="1" si="1"/>
        <v>0</v>
      </c>
      <c r="K47" s="133">
        <f t="shared" ca="1" si="1"/>
        <v>0</v>
      </c>
      <c r="L47" s="133">
        <f t="shared" ca="1" si="1"/>
        <v>0</v>
      </c>
      <c r="M47" s="133">
        <f t="shared" ca="1" si="1"/>
        <v>33.248562741207067</v>
      </c>
      <c r="N47" s="133">
        <f t="shared" ca="1" si="1"/>
        <v>162.08583019584219</v>
      </c>
      <c r="O47" s="133">
        <f t="shared" ca="1" si="1"/>
        <v>201.67180083597739</v>
      </c>
      <c r="P47" s="133">
        <f t="shared" ca="1" si="1"/>
        <v>106.4655229794522</v>
      </c>
      <c r="Q47" s="75"/>
    </row>
    <row r="48" spans="1:23" x14ac:dyDescent="0.25">
      <c r="A48" s="134" t="s">
        <v>1344</v>
      </c>
      <c r="B48" s="110" t="s">
        <v>837</v>
      </c>
      <c r="C48" s="136">
        <f ca="1">C34*6*0.00272/$C$43*(24*'Ввод исходных данных'!D209)</f>
        <v>2403.3115744817551</v>
      </c>
      <c r="D48" s="137"/>
      <c r="E48" s="136">
        <f ca="1">$C$34*$C$42*0.00272/$C$43*(24*'Расчет после реализации'!G148)</f>
        <v>314.35721016428016</v>
      </c>
      <c r="F48" s="136">
        <f ca="1">$C$34*$C$42*0.00272/$C$43*(24*'Расчет после реализации'!H148)</f>
        <v>283.93554466451116</v>
      </c>
      <c r="G48" s="136">
        <f ca="1">$C$34*$C$42*0.00272/$C$43*(24*'Расчет после реализации'!I148)</f>
        <v>314.35721016428016</v>
      </c>
      <c r="H48" s="136">
        <f ca="1">$C$34*$C$42*0.00272/$C$43*(24*'Расчет после реализации'!J148)</f>
        <v>304.21665499769051</v>
      </c>
      <c r="I48" s="136">
        <f ca="1">$C$34*$C$42*0.00272/$C$43*(24*'Расчет после реализации'!K148)</f>
        <v>152.10832749884526</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101.40555166589684</v>
      </c>
      <c r="N48" s="136">
        <f ca="1">$C$34*$C$42*0.00272/$C$43*(24*'Расчет после реализации'!P148)</f>
        <v>314.35721016428016</v>
      </c>
      <c r="O48" s="136">
        <f ca="1">$C$34*$C$42*0.00272/$C$43*(24*'Расчет после реализации'!Q148)</f>
        <v>304.21665499769051</v>
      </c>
      <c r="P48" s="136">
        <f ca="1">$C$34*$C$42*0.00272/$C$43*(24*'Расчет после реализации'!R148)</f>
        <v>314.35721016428016</v>
      </c>
      <c r="Q48" s="75"/>
    </row>
    <row r="49" spans="1:17" x14ac:dyDescent="0.25">
      <c r="A49" s="134" t="s">
        <v>1528</v>
      </c>
      <c r="B49" s="139"/>
      <c r="C49" s="140">
        <f ca="1">D34*$C$42*0.00272/$C$43*(24*'Ввод исходных данных'!D209)</f>
        <v>2403.3115744817551</v>
      </c>
      <c r="D49" s="141"/>
      <c r="E49" s="138">
        <f ca="1">$D$34*$C$42*0.00272/$C$43*(24*'Расчет после реализации'!G148)</f>
        <v>314.35721016428016</v>
      </c>
      <c r="F49" s="138">
        <f ca="1">$D$34*$C$42*0.00272/$C$43*(24*'Расчет после реализации'!H148)</f>
        <v>283.93554466451116</v>
      </c>
      <c r="G49" s="138">
        <f ca="1">$D$34*$C$42*0.00272/$C$43*(24*'Расчет после реализации'!I148)</f>
        <v>314.35721016428016</v>
      </c>
      <c r="H49" s="138">
        <f ca="1">$D$34*$C$42*0.00272/$C$43*(24*'Расчет после реализации'!J148)</f>
        <v>304.21665499769051</v>
      </c>
      <c r="I49" s="138">
        <f ca="1">$D$34*$C$42*0.00272/$C$43*(24*'Расчет после реализации'!K148)</f>
        <v>152.10832749884526</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101.40555166589684</v>
      </c>
      <c r="N49" s="138">
        <f ca="1">$D$34*$C$42*0.00272/$C$43*(24*'Расчет после реализации'!P148)</f>
        <v>314.35721016428016</v>
      </c>
      <c r="O49" s="138">
        <f ca="1">$D$34*$C$42*0.00272/$C$43*(24*'Расчет после реализации'!Q148)</f>
        <v>304.21665499769051</v>
      </c>
      <c r="P49" s="138">
        <f ca="1">$D$34*$C$42*0.00272/$C$43*(24*'Расчет после реализации'!R148)</f>
        <v>314.35721016428016</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1660.1829664151869</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321.97346750246669</v>
      </c>
      <c r="F50" s="142">
        <f ca="1">IF('Список мероприятий'!$D$35=списки!$N$46,'Система электроснабжения'!F49,'Система электроснабжения'!F47)*IF('Список мероприятий'!AE46=1,0.9,1)*IF('Список мероприятий'!$AB$54=1,0.9572,1)</f>
        <v>293.29201098547532</v>
      </c>
      <c r="G50" s="142">
        <f ca="1">IF('Список мероприятий'!$D$35=списки!$N$46,'Система электроснабжения'!G49,'Система электроснабжения'!G47)*IF('Список мероприятий'!AF46=1,0.9,1)*IF('Список мероприятий'!$AB$54=1,0.9572,1)</f>
        <v>294.64242131618369</v>
      </c>
      <c r="H50" s="142">
        <f ca="1">IF('Список мероприятий'!$D$35=списки!$N$46,'Система электроснабжения'!H49,'Система электроснабжения'!H47)*IF('Список мероприятий'!AG46=1,0.9,1)*IF('Список мероприятий'!$AB$54=1,0.9572,1)</f>
        <v>160.21675895791753</v>
      </c>
      <c r="I50" s="142">
        <f ca="1">IF('Список мероприятий'!$D$35=списки!$N$46,'Система электроснабжения'!I49,'Система электроснабжения'!I47)*IF('Список мероприятий'!AH46=1,0.9,1)*IF('Список мероприятий'!$AB$54=1,0.9572,1)</f>
        <v>41.298199554904649</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33.248562741207067</v>
      </c>
      <c r="N50" s="142">
        <f ca="1">IF('Список мероприятий'!$D$35=списки!$N$46,'Система электроснабжения'!N49,'Система электроснабжения'!N47)*IF('Список мероприятий'!AM46=1,0.9,1)*IF('Список мероприятий'!$AB$54=1,0.9572,1)</f>
        <v>162.08583019584219</v>
      </c>
      <c r="O50" s="142">
        <f ca="1">IF('Список мероприятий'!$D$35=списки!$N$46,'Система электроснабжения'!O49,'Система электроснабжения'!O47)*IF('Список мероприятий'!AN46=1,0.9,1)*IF('Список мероприятий'!$AB$54=1,0.9572,1)</f>
        <v>201.67180083597739</v>
      </c>
      <c r="P50" s="142">
        <f ca="1">IF('Список мероприятий'!$D$35=списки!$N$46,'Система электроснабжения'!P49,'Система электроснабжения'!P47)*IF('Список мероприятий'!AO46=1,0.9,1)*IF('Список мероприятий'!$AB$54=1,0.9572,1)</f>
        <v>106.4655229794522</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5.7091179388423816</v>
      </c>
      <c r="D52" s="71"/>
      <c r="E52" s="143">
        <f>E55*'Система электроснабжения'!$C$54</f>
        <v>5.7091179388423816</v>
      </c>
      <c r="F52" s="143">
        <f>F55*'Система электроснабжения'!$C$54</f>
        <v>5.7091179388423816</v>
      </c>
      <c r="G52" s="143">
        <f>G55*'Система электроснабжения'!$C$54</f>
        <v>5.7091179388423816</v>
      </c>
      <c r="H52" s="143">
        <f>H55*'Система электроснабжения'!$C$54</f>
        <v>5.7091179388423816</v>
      </c>
      <c r="I52" s="143">
        <f>I55*'Система электроснабжения'!$C$54</f>
        <v>5.1382061449581444</v>
      </c>
      <c r="J52" s="143">
        <f>J55*'Система электроснабжения'!$C$54</f>
        <v>5.1382061449581444</v>
      </c>
      <c r="K52" s="143">
        <f>K55*'Система электроснабжения'!$C$54</f>
        <v>5.1382061449581444</v>
      </c>
      <c r="L52" s="143">
        <f>L55*'Система электроснабжения'!$C$54</f>
        <v>5.1382061449581444</v>
      </c>
      <c r="M52" s="143">
        <f>M55*'Система электроснабжения'!$C$54</f>
        <v>5.1382061449581444</v>
      </c>
      <c r="N52" s="143">
        <f>N55*'Система электроснабжения'!$C$54</f>
        <v>5.7091179388423816</v>
      </c>
      <c r="O52" s="143">
        <f>O55*'Система электроснабжения'!$C$54</f>
        <v>5.7091179388423816</v>
      </c>
      <c r="P52" s="143">
        <f>P55*'Система электроснабжения'!$C$54</f>
        <v>5.7091179388423816</v>
      </c>
    </row>
    <row r="53" spans="1:17" ht="30.75" customHeight="1" x14ac:dyDescent="0.25">
      <c r="A53" s="148" t="s">
        <v>887</v>
      </c>
      <c r="B53" s="149"/>
      <c r="C53" s="150">
        <f ca="1">C56*'Система электроснабжения'!C54</f>
        <v>5.6875129513727796</v>
      </c>
      <c r="D53" s="151"/>
      <c r="E53" s="146">
        <f>E56*'Система электроснабжения'!$C$54</f>
        <v>5.7091179388423816</v>
      </c>
      <c r="F53" s="146">
        <f>F56*'Система электроснабжения'!$C$54</f>
        <v>5.7091179388423816</v>
      </c>
      <c r="G53" s="146">
        <f>G56*'Система электроснабжения'!$C$54</f>
        <v>5.7091179388423816</v>
      </c>
      <c r="H53" s="146">
        <f>H56*'Система электроснабжения'!$C$54</f>
        <v>5.7091179388423816</v>
      </c>
      <c r="I53" s="146">
        <f>I56*'Система электроснабжения'!$C$54</f>
        <v>5.1382061449581444</v>
      </c>
      <c r="J53" s="146">
        <f>J56*'Система электроснабжения'!$C$54</f>
        <v>5.1382061449581444</v>
      </c>
      <c r="K53" s="146">
        <f>K56*'Система электроснабжения'!$C$54</f>
        <v>5.1382061449581444</v>
      </c>
      <c r="L53" s="146">
        <f>L56*'Система электроснабжения'!$C$54</f>
        <v>5.1382061449581444</v>
      </c>
      <c r="M53" s="146">
        <f>M56*'Система электроснабжения'!$C$54</f>
        <v>5.1382061449581444</v>
      </c>
      <c r="N53" s="146">
        <f>N56*'Система электроснабжения'!$C$54</f>
        <v>5.7091179388423816</v>
      </c>
      <c r="O53" s="146">
        <f>O56*'Система электроснабжения'!$C$54</f>
        <v>5.7091179388423816</v>
      </c>
      <c r="P53" s="146">
        <f>P56*'Система электроснабжения'!$C$54</f>
        <v>5.7091179388423816</v>
      </c>
    </row>
    <row r="54" spans="1:17" ht="30.75" customHeight="1" x14ac:dyDescent="0.25">
      <c r="A54" s="148"/>
      <c r="B54" s="145"/>
      <c r="C54" s="154">
        <f>11.96*('Ввод исходных данных'!$D$22^(-0.181))</f>
        <v>4.3775187290591386</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1.304190408357075</v>
      </c>
      <c r="F55" s="155">
        <f>'Расчет базового уровня'!H173</f>
        <v>1.304190408357075</v>
      </c>
      <c r="G55" s="155">
        <f>'Расчет базового уровня'!I173</f>
        <v>1.304190408357075</v>
      </c>
      <c r="H55" s="155">
        <f>'Расчет базового уровня'!J173</f>
        <v>1.304190408357075</v>
      </c>
      <c r="I55" s="155">
        <f>'Расчет базового уровня'!K173</f>
        <v>1.1737713675213677</v>
      </c>
      <c r="J55" s="155">
        <f>'Расчет базового уровня'!L173</f>
        <v>1.1737713675213677</v>
      </c>
      <c r="K55" s="155">
        <f>'Расчет базового уровня'!M173</f>
        <v>1.1737713675213677</v>
      </c>
      <c r="L55" s="155">
        <f>'Расчет базового уровня'!N173</f>
        <v>1.1737713675213677</v>
      </c>
      <c r="M55" s="155">
        <f>'Расчет базового уровня'!O173</f>
        <v>1.1737713675213677</v>
      </c>
      <c r="N55" s="155">
        <f>'Расчет базового уровня'!P173</f>
        <v>1.304190408357075</v>
      </c>
      <c r="O55" s="155">
        <f>'Расчет базового уровня'!Q173</f>
        <v>1.304190408357075</v>
      </c>
      <c r="P55" s="155">
        <f>'Расчет базового уровня'!R173</f>
        <v>1.304190408357075</v>
      </c>
    </row>
    <row r="56" spans="1:17" ht="24" customHeight="1" x14ac:dyDescent="0.25">
      <c r="A56" s="124" t="s">
        <v>880</v>
      </c>
      <c r="B56" s="149"/>
      <c r="C56" s="158">
        <f ca="1">'Расчет после реализации'!D171</f>
        <v>1.2992549668874172</v>
      </c>
      <c r="D56" s="151"/>
      <c r="E56" s="157">
        <f>'Расчет после реализации'!G171</f>
        <v>1.304190408357075</v>
      </c>
      <c r="F56" s="157">
        <f>'Расчет после реализации'!H171</f>
        <v>1.304190408357075</v>
      </c>
      <c r="G56" s="157">
        <f>'Расчет после реализации'!I171</f>
        <v>1.304190408357075</v>
      </c>
      <c r="H56" s="157">
        <f>'Расчет после реализации'!J171</f>
        <v>1.304190408357075</v>
      </c>
      <c r="I56" s="157">
        <f>'Расчет после реализации'!K171</f>
        <v>1.1737713675213677</v>
      </c>
      <c r="J56" s="157">
        <f>'Расчет после реализации'!L171</f>
        <v>1.1737713675213677</v>
      </c>
      <c r="K56" s="157">
        <f>'Расчет после реализации'!M171</f>
        <v>1.1737713675213677</v>
      </c>
      <c r="L56" s="157">
        <f>'Расчет после реализации'!N171</f>
        <v>1.1737713675213677</v>
      </c>
      <c r="M56" s="157">
        <f>'Расчет после реализации'!O171</f>
        <v>1.1737713675213677</v>
      </c>
      <c r="N56" s="157">
        <f>'Расчет после реализации'!P171</f>
        <v>1.304190408357075</v>
      </c>
      <c r="O56" s="157">
        <f>'Расчет после реализации'!Q171</f>
        <v>1.304190408357075</v>
      </c>
      <c r="P56" s="157">
        <f>'Расчет после реализации'!R171</f>
        <v>1.304190408357075</v>
      </c>
    </row>
    <row r="57" spans="1:17" ht="36" x14ac:dyDescent="0.25">
      <c r="A57" s="148" t="s">
        <v>882</v>
      </c>
      <c r="B57" s="86"/>
      <c r="C57" s="159">
        <v>0.1</v>
      </c>
      <c r="D57" s="160" t="s">
        <v>881</v>
      </c>
    </row>
    <row r="58" spans="1:17" s="147" customFormat="1" x14ac:dyDescent="0.25">
      <c r="A58" s="144" t="s">
        <v>1309</v>
      </c>
      <c r="B58" s="145" t="s">
        <v>879</v>
      </c>
      <c r="C58" s="119">
        <f>C52*(1+C$57)</f>
        <v>6.2800297327266206</v>
      </c>
      <c r="D58" s="71"/>
      <c r="E58" s="119">
        <f>E52*(1+$C$57)</f>
        <v>6.2800297327266206</v>
      </c>
      <c r="F58" s="119">
        <f>F52*(1+$C$57)</f>
        <v>6.2800297327266206</v>
      </c>
      <c r="G58" s="119">
        <f t="shared" ref="G58:P58" si="2">G52*(1+$C$57)</f>
        <v>6.2800297327266206</v>
      </c>
      <c r="H58" s="119">
        <f t="shared" si="2"/>
        <v>6.2800297327266206</v>
      </c>
      <c r="I58" s="119">
        <f t="shared" si="2"/>
        <v>5.6520267594539595</v>
      </c>
      <c r="J58" s="119">
        <f t="shared" si="2"/>
        <v>5.6520267594539595</v>
      </c>
      <c r="K58" s="119">
        <f t="shared" si="2"/>
        <v>5.6520267594539595</v>
      </c>
      <c r="L58" s="119">
        <f t="shared" si="2"/>
        <v>5.6520267594539595</v>
      </c>
      <c r="M58" s="119">
        <f t="shared" si="2"/>
        <v>5.6520267594539595</v>
      </c>
      <c r="N58" s="119">
        <f t="shared" si="2"/>
        <v>6.2800297327266206</v>
      </c>
      <c r="O58" s="119">
        <f t="shared" si="2"/>
        <v>6.2800297327266206</v>
      </c>
      <c r="P58" s="119">
        <f t="shared" si="2"/>
        <v>6.2800297327266206</v>
      </c>
    </row>
    <row r="59" spans="1:17" x14ac:dyDescent="0.25">
      <c r="A59" s="121" t="s">
        <v>872</v>
      </c>
      <c r="B59" s="149"/>
      <c r="C59" s="120">
        <f ca="1">C53*(1+C$57)</f>
        <v>6.2562642465100584</v>
      </c>
      <c r="D59" s="151"/>
      <c r="E59" s="120">
        <f>E53*(1+$C$57)</f>
        <v>6.2800297327266206</v>
      </c>
      <c r="F59" s="120">
        <f>F53*(1+$C$57)</f>
        <v>6.2800297327266206</v>
      </c>
      <c r="G59" s="120">
        <f t="shared" ref="G59:P59" si="3">G53*(1+$C$57)</f>
        <v>6.2800297327266206</v>
      </c>
      <c r="H59" s="120">
        <f t="shared" si="3"/>
        <v>6.2800297327266206</v>
      </c>
      <c r="I59" s="120">
        <f t="shared" si="3"/>
        <v>5.6520267594539595</v>
      </c>
      <c r="J59" s="120">
        <f t="shared" si="3"/>
        <v>5.6520267594539595</v>
      </c>
      <c r="K59" s="120">
        <f t="shared" si="3"/>
        <v>5.6520267594539595</v>
      </c>
      <c r="L59" s="120">
        <f t="shared" si="3"/>
        <v>5.6520267594539595</v>
      </c>
      <c r="M59" s="120">
        <f t="shared" si="3"/>
        <v>5.6520267594539595</v>
      </c>
      <c r="N59" s="120">
        <f t="shared" si="3"/>
        <v>6.2800297327266206</v>
      </c>
      <c r="O59" s="120">
        <f t="shared" si="3"/>
        <v>6.2800297327266206</v>
      </c>
      <c r="P59" s="120">
        <f t="shared" si="3"/>
        <v>6.2800297327266206</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7824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456</v>
      </c>
      <c r="K61" s="70">
        <f>'Расчет базового уровня'!M172*24</f>
        <v>456</v>
      </c>
      <c r="L61" s="70">
        <f>'Расчет базового уровня'!N172*24</f>
        <v>360</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1909.2438735782914</v>
      </c>
      <c r="D64" s="71"/>
      <c r="E64" s="161">
        <f t="shared" ref="E64:K64" si="4">0.00272*E58*$C$60*E61/($C$62*$C$63)</f>
        <v>181.55386527891727</v>
      </c>
      <c r="F64" s="161">
        <f t="shared" si="4"/>
        <v>163.98413638095755</v>
      </c>
      <c r="G64" s="161">
        <f t="shared" si="4"/>
        <v>181.55386527891727</v>
      </c>
      <c r="H64" s="161">
        <f t="shared" si="4"/>
        <v>175.69728897959735</v>
      </c>
      <c r="I64" s="161">
        <f t="shared" si="4"/>
        <v>163.39847875102558</v>
      </c>
      <c r="J64" s="161">
        <f t="shared" si="4"/>
        <v>100.14745471837053</v>
      </c>
      <c r="K64" s="161">
        <f t="shared" si="4"/>
        <v>100.14745471837053</v>
      </c>
      <c r="L64" s="161">
        <f>0.00272*L58*$C$60*L61/($C$62*$C$63)</f>
        <v>79.063780040818827</v>
      </c>
      <c r="M64" s="161">
        <f>0.00272*M58*$C$60*M61/($C$62*$C$63)</f>
        <v>158.12756008163765</v>
      </c>
      <c r="N64" s="161">
        <f>0.00272*N58*$C$60*N61/($C$62*$C$63)</f>
        <v>181.55386527891727</v>
      </c>
      <c r="O64" s="161">
        <f>0.00272*O58*$C$60*O61/($C$62*$C$63)</f>
        <v>175.69728897959735</v>
      </c>
      <c r="P64" s="161">
        <f>0.00272*P58*$C$60*P61/($C$62*$C$63)</f>
        <v>181.55386527891727</v>
      </c>
    </row>
    <row r="65" spans="1:16" ht="27.95" customHeight="1" x14ac:dyDescent="0.25">
      <c r="A65" s="76" t="s">
        <v>967</v>
      </c>
      <c r="B65" s="164"/>
      <c r="C65" s="165">
        <f ca="1">0.00272*C59*C60*C61/(C62*C63)*IF('Список мероприятий'!AB46=1,0.9,1)*IF('Список мероприятий'!AB54=1,0.9572,1)</f>
        <v>1902.0187311995655</v>
      </c>
      <c r="D65" s="166"/>
      <c r="E65" s="163">
        <f>0.00272*E59*$C$60*E61/(C62*C63)*IF('Список мероприятий'!AB46=1,0.9,1)*IF('Список мероприятий'!AB54=1,0.9572,1)</f>
        <v>181.55386527891727</v>
      </c>
      <c r="F65" s="163">
        <f>0.00272*F59*$C$60*F61/(C62*C63)*IF('Список мероприятий'!AB46=1,0.9,1)*IF('Список мероприятий'!AB54=1,0.9572,1)</f>
        <v>163.98413638095755</v>
      </c>
      <c r="G65" s="163">
        <f>0.00272*G59*$C$60*G61/(C62*C63)*IF('Список мероприятий'!AB46=1,0.9,1)*IF('Список мероприятий'!AB54=1,0.9572,1)</f>
        <v>181.55386527891727</v>
      </c>
      <c r="H65" s="163">
        <f>0.00272*H59*$C$60*H61/(C62*C63)*IF('Список мероприятий'!AB46=1,0.9,1)*IF('Список мероприятий'!AB54=1,0.9572,1)</f>
        <v>175.69728897959735</v>
      </c>
      <c r="I65" s="163">
        <f>0.00272*I59*$C$60*I61/(C62*C63)*IF('Список мероприятий'!AB46=1,0.9,1)*IF('Список мероприятий'!AB54=1,0.9572,1)</f>
        <v>163.39847875102558</v>
      </c>
      <c r="J65" s="163">
        <f>0.00272*J59*$C$60*J61/(C62*C63)*IF('Список мероприятий'!AB46=1,0.9,1)*IF('Список мероприятий'!AB54=1,0.9572,1)</f>
        <v>100.14745471837053</v>
      </c>
      <c r="K65" s="163">
        <f>0.00272*K59*$C$60*K61/(C62*C63)*IF('Список мероприятий'!AB46=1,0.9,1)*IF('Список мероприятий'!AB54=1,0.9572,1)</f>
        <v>100.14745471837053</v>
      </c>
      <c r="L65" s="163">
        <f>0.00272*L59*$C$60*L61/(C62*C63)*IF('Список мероприятий'!AB46=1,0.9,1)*IF('Список мероприятий'!AB54=1,0.9572,1)</f>
        <v>79.063780040818827</v>
      </c>
      <c r="M65" s="163">
        <f>0.00272*M59*$C$60*M61/(C62*C63)*IF('Список мероприятий'!AB46=1,0.9,1)*IF('Список мероприятий'!AB54=1,0.9572,1)</f>
        <v>158.12756008163765</v>
      </c>
      <c r="N65" s="163">
        <f>0.00272*N59*$C$60*N61/(C62*C63)*IF('Список мероприятий'!AB46=1,0.9,1)*IF('Список мероприятий'!AB54=1,0.9572,1)</f>
        <v>181.55386527891727</v>
      </c>
      <c r="O65" s="163">
        <f>0.00272*O59*$C$60*O61/(C62*C63)*IF('Список мероприятий'!AB46=1,0.9,1)*IF('Список мероприятий'!AB54=1,0.9572,1)</f>
        <v>175.69728897959735</v>
      </c>
      <c r="P65" s="163">
        <f>0.00272*P59*$C$60*P61/(C62*C63)*IF('Список мероприятий'!AB46=1,0.9,1)*IF('Список мероприятий'!AB54=1,0.9572,1)</f>
        <v>181.55386527891727</v>
      </c>
    </row>
    <row r="66" spans="1:16" x14ac:dyDescent="0.25">
      <c r="A66" s="66" t="s">
        <v>886</v>
      </c>
      <c r="B66" s="76"/>
      <c r="C66" s="76"/>
      <c r="D66" s="76"/>
      <c r="E66" s="76"/>
      <c r="F66" s="76"/>
    </row>
    <row r="67" spans="1:16" x14ac:dyDescent="0.25">
      <c r="A67" s="2567" t="s">
        <v>829</v>
      </c>
      <c r="B67" s="1409" t="s">
        <v>830</v>
      </c>
      <c r="C67" s="2568" t="s">
        <v>754</v>
      </c>
      <c r="D67" s="2569"/>
      <c r="E67" s="2569"/>
      <c r="F67" s="2569"/>
      <c r="G67" s="2570"/>
    </row>
    <row r="68" spans="1:16" ht="51" x14ac:dyDescent="0.25">
      <c r="A68" s="2567"/>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1" t="s">
        <v>580</v>
      </c>
      <c r="B86" s="179" t="s">
        <v>581</v>
      </c>
      <c r="C86" s="178" t="s">
        <v>579</v>
      </c>
      <c r="D86" s="51">
        <v>8760</v>
      </c>
      <c r="E86" s="51">
        <v>240</v>
      </c>
    </row>
    <row r="87" spans="1:5" ht="15.75" x14ac:dyDescent="0.25">
      <c r="A87" s="2562"/>
      <c r="B87" s="179" t="s">
        <v>582</v>
      </c>
      <c r="C87" s="178"/>
    </row>
    <row r="88" spans="1:5" ht="15.75" x14ac:dyDescent="0.25">
      <c r="A88" s="2562"/>
      <c r="B88" s="179" t="s">
        <v>583</v>
      </c>
      <c r="C88" s="178" t="s">
        <v>579</v>
      </c>
      <c r="D88" s="51">
        <v>300</v>
      </c>
    </row>
    <row r="89" spans="1:5" ht="31.5" x14ac:dyDescent="0.25">
      <c r="A89" s="2562"/>
      <c r="B89" s="181" t="s">
        <v>584</v>
      </c>
      <c r="C89" s="178" t="s">
        <v>579</v>
      </c>
      <c r="D89" s="51">
        <v>100</v>
      </c>
    </row>
    <row r="90" spans="1:5" ht="15.75" x14ac:dyDescent="0.25">
      <c r="A90" s="2563"/>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3" t="s">
        <v>1402</v>
      </c>
      <c r="B1" s="2453"/>
      <c r="C1" s="2453"/>
      <c r="D1" s="2453"/>
      <c r="E1" s="2453"/>
      <c r="F1" s="2453"/>
      <c r="G1" s="2453"/>
      <c r="H1" s="2453"/>
      <c r="I1" s="2453"/>
      <c r="J1" s="2453"/>
      <c r="K1" s="2453"/>
      <c r="L1" s="2453"/>
      <c r="M1" s="2453"/>
      <c r="N1" s="2453"/>
      <c r="O1" s="2453"/>
      <c r="P1" s="2453"/>
      <c r="Q1" s="2453"/>
      <c r="R1" s="2453"/>
      <c r="S1" s="2453"/>
      <c r="T1" s="2453"/>
      <c r="U1" s="2453"/>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6" t="s">
        <v>1403</v>
      </c>
      <c r="B3" s="2577" t="s">
        <v>912</v>
      </c>
      <c r="C3" s="2578" t="s">
        <v>987</v>
      </c>
      <c r="D3" s="2578" t="s">
        <v>785</v>
      </c>
      <c r="F3" s="186">
        <v>1</v>
      </c>
      <c r="H3" s="60"/>
      <c r="I3" s="60"/>
      <c r="J3" s="60"/>
      <c r="K3" s="60"/>
      <c r="L3" s="60"/>
      <c r="M3" s="60"/>
      <c r="N3" s="60"/>
      <c r="O3" s="60"/>
      <c r="P3" s="60"/>
      <c r="Q3" s="60"/>
    </row>
    <row r="4" spans="1:59" x14ac:dyDescent="0.25">
      <c r="A4" s="2576"/>
      <c r="B4" s="2577"/>
      <c r="C4" s="2578"/>
      <c r="D4" s="2578"/>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78" t="s">
        <v>786</v>
      </c>
      <c r="B12" s="2579" t="s">
        <v>792</v>
      </c>
      <c r="C12" s="2579"/>
      <c r="E12" s="51">
        <f>SUMPRODUCT(D14:D17,B14:B17)*B11+SUMPRODUCT(D14:D17,C14:C17)*C11</f>
        <v>0.25</v>
      </c>
      <c r="H12" s="60"/>
      <c r="I12" s="60"/>
      <c r="J12" s="60"/>
      <c r="K12" s="60"/>
      <c r="L12" s="60"/>
      <c r="M12" s="60"/>
      <c r="N12" s="60"/>
      <c r="O12" s="60"/>
      <c r="P12" s="60"/>
      <c r="Q12" s="60"/>
    </row>
    <row r="13" spans="1:59" ht="87.6" customHeight="1" x14ac:dyDescent="0.25">
      <c r="A13" s="2578"/>
      <c r="B13" s="197" t="s">
        <v>791</v>
      </c>
      <c r="C13" s="197" t="s">
        <v>1404</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1</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1</v>
      </c>
      <c r="G15" s="186" t="b">
        <v>1</v>
      </c>
    </row>
    <row r="16" spans="1:59" ht="25.5" x14ac:dyDescent="0.25">
      <c r="A16" s="198" t="s">
        <v>789</v>
      </c>
      <c r="B16" s="199">
        <v>0.35</v>
      </c>
      <c r="C16" s="199">
        <v>0.3</v>
      </c>
      <c r="D16" s="51">
        <f>IF(AND($F$15=0,$F$16=1),1,0)</f>
        <v>0</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0</v>
      </c>
      <c r="G17" s="186" t="b">
        <v>0</v>
      </c>
    </row>
    <row r="18" spans="1:11" x14ac:dyDescent="0.25">
      <c r="F18" s="186"/>
      <c r="G18" s="186">
        <v>2</v>
      </c>
    </row>
    <row r="19" spans="1:11" x14ac:dyDescent="0.25">
      <c r="E19" s="51" t="s">
        <v>1341</v>
      </c>
      <c r="F19" s="186">
        <f>IF($G$18=1,1,0)</f>
        <v>0</v>
      </c>
      <c r="G19" s="186"/>
    </row>
    <row r="20" spans="1:11" x14ac:dyDescent="0.25">
      <c r="E20" s="51" t="s">
        <v>1483</v>
      </c>
      <c r="F20" s="186">
        <f>IF($G$18=2,1,0)</f>
        <v>1</v>
      </c>
      <c r="G20" s="186"/>
    </row>
    <row r="21" spans="1:11" x14ac:dyDescent="0.25">
      <c r="E21" s="51" t="s">
        <v>1484</v>
      </c>
      <c r="F21" s="186">
        <f>IF($G$18=3,1,0)</f>
        <v>0</v>
      </c>
      <c r="G21" s="186"/>
    </row>
    <row r="30" spans="1:11" ht="15.75" thickBot="1" x14ac:dyDescent="0.3"/>
    <row r="31" spans="1:11" ht="16.5" thickBot="1" x14ac:dyDescent="0.3">
      <c r="A31" s="201" t="s">
        <v>728</v>
      </c>
      <c r="B31" s="2574" t="s">
        <v>554</v>
      </c>
      <c r="C31" s="2575"/>
      <c r="I31" s="202" t="s">
        <v>913</v>
      </c>
    </row>
    <row r="32" spans="1:11" ht="63.75" thickBot="1" x14ac:dyDescent="0.3">
      <c r="A32" s="203"/>
      <c r="B32" s="204" t="s">
        <v>555</v>
      </c>
      <c r="C32" s="205" t="s">
        <v>556</v>
      </c>
      <c r="I32" s="2571" t="s">
        <v>1405</v>
      </c>
      <c r="J32" s="2571"/>
      <c r="K32" s="2571"/>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1</v>
      </c>
      <c r="E34" s="208">
        <f>IF((G15=TRUE)*AND(G16=TRUE)*AND(G14=FALSE),1,0)</f>
        <v>0</v>
      </c>
      <c r="I34" s="209" t="s">
        <v>1406</v>
      </c>
      <c r="J34" s="2572"/>
      <c r="K34" s="2573"/>
    </row>
    <row r="35" spans="1:15" ht="32.25" thickBot="1" x14ac:dyDescent="0.3">
      <c r="A35" s="206" t="s">
        <v>558</v>
      </c>
      <c r="B35" s="204">
        <v>0.35</v>
      </c>
      <c r="C35" s="204">
        <v>0.3</v>
      </c>
      <c r="D35" s="204">
        <f>IF((G15=FALSE)*AND(G16=TRUE)*AND(G14=TRUE),1,0)</f>
        <v>0</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2406</v>
      </c>
      <c r="D2" s="219" t="s">
        <v>2406</v>
      </c>
      <c r="F2" s="219" t="s">
        <v>2406</v>
      </c>
      <c r="G2" s="220" t="s">
        <v>2406</v>
      </c>
      <c r="J2" s="221" t="s">
        <v>460</v>
      </c>
      <c r="K2" s="222" t="s">
        <v>457</v>
      </c>
      <c r="N2" s="219" t="s">
        <v>2406</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2406</v>
      </c>
      <c r="K3" s="227" t="s">
        <v>2406</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2406</v>
      </c>
      <c r="AR3" s="229" t="s">
        <v>2406</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2019</v>
      </c>
      <c r="AK11" s="229" t="s">
        <v>2406</v>
      </c>
      <c r="AN11" s="229" t="s">
        <v>461</v>
      </c>
    </row>
    <row r="12" spans="2:44" ht="15.75" x14ac:dyDescent="0.25">
      <c r="B12" s="241" t="s">
        <v>1378</v>
      </c>
      <c r="F12" s="230" t="s">
        <v>422</v>
      </c>
      <c r="G12" s="231">
        <v>12</v>
      </c>
      <c r="J12" s="232" t="s">
        <v>13</v>
      </c>
      <c r="K12" s="233" t="s">
        <v>633</v>
      </c>
      <c r="R12" s="228"/>
      <c r="AI12" s="75">
        <f ca="1">AI13-1</f>
        <v>2020</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2021</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2446</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2406</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2447</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2446</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43343</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1</v>
      </c>
      <c r="D31" s="71">
        <f t="shared" ref="D31:D48" si="0">IF(C31=TRUE,1,0)</f>
        <v>1</v>
      </c>
      <c r="F31" s="225" t="s">
        <v>190</v>
      </c>
      <c r="G31" s="226">
        <v>31</v>
      </c>
      <c r="J31" s="232" t="s">
        <v>13</v>
      </c>
      <c r="K31" s="233" t="s">
        <v>32</v>
      </c>
      <c r="N31" s="77" t="s">
        <v>858</v>
      </c>
      <c r="R31" s="234"/>
    </row>
    <row r="32" spans="2:40" ht="15.75" x14ac:dyDescent="0.25">
      <c r="B32" s="71" t="s">
        <v>521</v>
      </c>
      <c r="C32" s="214" t="b">
        <v>1</v>
      </c>
      <c r="D32" s="71">
        <f t="shared" si="0"/>
        <v>1</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0</v>
      </c>
      <c r="D36" s="74">
        <f t="shared" si="0"/>
        <v>0</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0</v>
      </c>
      <c r="D44" s="74">
        <f t="shared" si="0"/>
        <v>0</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2407</v>
      </c>
      <c r="C56" s="1568">
        <f>IF('Ввод исходных данных'!D94="",20,'Ввод исходных данных'!D94)</f>
        <v>20</v>
      </c>
      <c r="D56" s="51" t="s">
        <v>2408</v>
      </c>
      <c r="F56" s="230" t="s">
        <v>197</v>
      </c>
      <c r="G56" s="231">
        <v>56</v>
      </c>
      <c r="J56" s="250" t="s">
        <v>419</v>
      </c>
      <c r="K56" s="233" t="s">
        <v>421</v>
      </c>
    </row>
    <row r="57" spans="2:25" ht="15.75" x14ac:dyDescent="0.25">
      <c r="B57" s="51" t="s">
        <v>2409</v>
      </c>
      <c r="C57" s="1568">
        <f>IF('Ввод исходных данных'!D95="",E57,'Ввод исходных данных'!D95)</f>
        <v>15.5</v>
      </c>
      <c r="D57" s="51" t="s">
        <v>2410</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15.5</v>
      </c>
      <c r="F57" s="225" t="s">
        <v>288</v>
      </c>
      <c r="G57" s="226">
        <v>57</v>
      </c>
      <c r="J57" s="250" t="s">
        <v>419</v>
      </c>
      <c r="K57" s="233" t="s">
        <v>635</v>
      </c>
    </row>
    <row r="58" spans="2:25" ht="15.75" x14ac:dyDescent="0.25">
      <c r="B58" s="51" t="s">
        <v>2411</v>
      </c>
      <c r="C58" s="1568">
        <f>IF('Ввод исходных данных'!D96="",IF(списки!C34,10,2),'Ввод исходных данных'!D96)</f>
        <v>2</v>
      </c>
      <c r="D58" s="51" t="s">
        <v>2412</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2413</v>
      </c>
      <c r="F59" s="225" t="s">
        <v>621</v>
      </c>
      <c r="G59" s="226">
        <v>59</v>
      </c>
      <c r="J59" s="250" t="s">
        <v>419</v>
      </c>
      <c r="K59" s="233" t="s">
        <v>420</v>
      </c>
    </row>
    <row r="60" spans="2:25" ht="15.75" x14ac:dyDescent="0.25">
      <c r="B60" s="51" t="s">
        <v>2414</v>
      </c>
      <c r="C60" s="1262">
        <f>IF('Ввод исходных данных'!D119="",5,'Ввод исходных данных'!D119)</f>
        <v>5</v>
      </c>
      <c r="D60" s="51" t="s">
        <v>2415</v>
      </c>
      <c r="F60" s="230" t="s">
        <v>381</v>
      </c>
      <c r="G60" s="231">
        <v>60</v>
      </c>
      <c r="J60" s="250" t="s">
        <v>422</v>
      </c>
      <c r="K60" s="242" t="s">
        <v>423</v>
      </c>
    </row>
    <row r="61" spans="2:25" ht="15.75" x14ac:dyDescent="0.25">
      <c r="B61" s="51" t="s">
        <v>2416</v>
      </c>
      <c r="C61" s="1262">
        <f>IF('Ввод исходных данных'!D120="",15,'Ввод исходных данных'!D120)</f>
        <v>15</v>
      </c>
      <c r="D61" s="51" t="s">
        <v>2417</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2418</v>
      </c>
      <c r="C63" s="1262">
        <f>IF('Ввод исходных данных'!D122="",8,'Ввод исходных данных'!D122)</f>
        <v>8</v>
      </c>
      <c r="D63" s="51" t="s">
        <v>2419</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400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400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2420</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2421</v>
      </c>
      <c r="C73" s="1262">
        <f ca="1">IF('Ввод исходных данных'!D168="",'Ввод исходных данных'!D209*24,'Ввод исходных данных'!D168)</f>
        <v>5688</v>
      </c>
      <c r="D73" s="51" t="s">
        <v>1707</v>
      </c>
      <c r="F73" s="225" t="s">
        <v>392</v>
      </c>
      <c r="G73" s="226">
        <v>73</v>
      </c>
      <c r="J73" s="250" t="s">
        <v>255</v>
      </c>
      <c r="K73" s="233" t="s">
        <v>439</v>
      </c>
      <c r="S73" s="71" t="s">
        <v>1245</v>
      </c>
    </row>
    <row r="74" spans="2:19" ht="15.75" x14ac:dyDescent="0.25">
      <c r="B74" s="51" t="s">
        <v>2422</v>
      </c>
      <c r="C74" s="1262">
        <f>IF('Ввод исходных данных'!D172="",(SUM('Ввод исходных данных'!J273:J284)-SUM('Ввод исходных данных'!D127:D132))*24,'Ввод исходных данных'!D172)</f>
        <v>7824</v>
      </c>
      <c r="D74" s="51" t="s">
        <v>2423</v>
      </c>
      <c r="F74" s="230" t="s">
        <v>55</v>
      </c>
      <c r="G74" s="231">
        <v>74</v>
      </c>
      <c r="J74" s="250" t="s">
        <v>255</v>
      </c>
      <c r="K74" s="233" t="s">
        <v>440</v>
      </c>
      <c r="S74" s="71" t="s">
        <v>2123</v>
      </c>
    </row>
    <row r="75" spans="2:19" ht="15.75" x14ac:dyDescent="0.25">
      <c r="B75" s="51" t="s">
        <v>2421</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2">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0" t="s">
        <v>829</v>
      </c>
      <c r="B3" s="2580" t="s">
        <v>1780</v>
      </c>
      <c r="C3" s="2581" t="s">
        <v>1781</v>
      </c>
      <c r="D3" s="2581"/>
      <c r="E3" s="2581"/>
      <c r="F3" s="2581"/>
      <c r="G3" s="2581"/>
      <c r="H3" s="2581"/>
      <c r="I3" s="2581"/>
      <c r="J3" s="2581"/>
      <c r="K3" s="2581"/>
      <c r="L3" s="2581"/>
      <c r="M3" s="2581"/>
      <c r="N3" s="1350"/>
      <c r="O3" s="1350"/>
      <c r="P3" s="1350"/>
      <c r="Q3" s="1350"/>
      <c r="R3" s="1350"/>
      <c r="W3" s="2580" t="s">
        <v>829</v>
      </c>
      <c r="X3" s="2580" t="s">
        <v>1780</v>
      </c>
      <c r="Y3" s="2581" t="s">
        <v>1781</v>
      </c>
      <c r="Z3" s="2581"/>
      <c r="AA3" s="2581"/>
      <c r="AB3" s="2581"/>
      <c r="AC3" s="2581"/>
      <c r="AD3" s="2581"/>
      <c r="AE3" s="2581"/>
      <c r="AF3" s="2581"/>
      <c r="AG3" s="2581"/>
      <c r="AH3" s="2581"/>
      <c r="AI3" s="2581"/>
      <c r="AJ3" s="1350"/>
      <c r="AK3" s="1350"/>
      <c r="AL3" s="1350"/>
      <c r="AM3" s="1350"/>
      <c r="AN3" s="1350"/>
      <c r="AO3" s="13"/>
      <c r="AQ3" s="2580" t="s">
        <v>829</v>
      </c>
      <c r="AR3" s="2580" t="s">
        <v>1780</v>
      </c>
      <c r="AS3" s="2581" t="s">
        <v>1781</v>
      </c>
      <c r="AT3" s="2581"/>
      <c r="AU3" s="2581"/>
      <c r="AV3" s="2581"/>
      <c r="AW3" s="2581"/>
      <c r="AX3" s="2581"/>
      <c r="AY3" s="2581"/>
      <c r="AZ3" s="2581"/>
      <c r="BA3" s="2581"/>
      <c r="BB3" s="2581"/>
      <c r="BC3" s="2581"/>
      <c r="BD3" s="1350"/>
      <c r="BE3" s="1350"/>
      <c r="BF3" s="1350"/>
      <c r="BG3" s="1350"/>
      <c r="BH3" s="1350"/>
      <c r="BI3" s="13"/>
    </row>
    <row r="4" spans="1:61" ht="16.5" customHeight="1" x14ac:dyDescent="0.25">
      <c r="A4" s="2580"/>
      <c r="B4" s="2580"/>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0"/>
      <c r="X4" s="2580"/>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0"/>
      <c r="AR4" s="2580"/>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2"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2"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2"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2"/>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2"/>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2"/>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2"/>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2"/>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2"/>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2"/>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2"/>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2"/>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2"/>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2"/>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2"/>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2"/>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2"/>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2"/>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2"/>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2"/>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2"/>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5138</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IF('Ввод исходных данных'!$D$19='классы ЭЭ и выбросы ПГ'!F$4,IF($B12&lt;3000,SLOPE(F5:F6,$B5:$B6)*$B12+INTERCEPT(F5:F6,$B5:$B6),SLOPE(F6:F11,$B6:$B11)*$B12+INTERCEPT(F6:F11,$B6:$B11)),0)</f>
        <v>0</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 ca="1">IF('Ввод исходных данных'!$D$19='классы ЭЭ и выбросы ПГ'!J$4,IF($B12&lt;3000,SLOPE(J5:J6,$B5:$B6)*$B12+INTERCEPT(J5:J6,$B5:$B6),SLOPE(J6:J11,$B6:$B11)*$B12+INTERCEPT(J6:J11,$B6:$B11)),0)</f>
        <v>251.14259803921567</v>
      </c>
      <c r="K12" s="1352">
        <f>IF('Ввод исходных данных'!$D$19='классы ЭЭ и выбросы ПГ'!K$4,IF($B12&lt;3000,SLOPE(K5:K6,$B5:$B6)*$B12+INTERCEPT(K5:K6,$B5:$B6),SLOPE(K6:K11,$B6:$B11)*$B12+INTERCEPT(K6:K11,$B6:$B11)),0)</f>
        <v>0</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251.14259803921567</v>
      </c>
      <c r="W12" s="1372" t="s">
        <v>1262</v>
      </c>
      <c r="X12" s="1352">
        <f>'Рейтинг МКД'!$D$11</f>
        <v>5737.5</v>
      </c>
      <c r="Y12" s="1352">
        <f>IF('Рейтинг МКД'!$D$13&lt;='классы ЭЭ и выбросы ПГ'!Y$4,IF($X12&lt;3000,SLOPE(Y5:Y6,$X5:$X6)*$X12+INTERCEPT(Y5:Y6,$X5:$X6),SLOPE(Y6:Y11,$X6:$X11)*$X12+INTERCEPT(Y6:Y11,$X6:$X11)),0)</f>
        <v>0</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263.79381127450978</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f>SUM(Y12:AN12)-IF('Рейтинг МКД'!D15="да",0,3)</f>
        <v>263.79381127450978</v>
      </c>
      <c r="AP12" s="1358"/>
      <c r="AQ12" s="1374" t="s">
        <v>1262</v>
      </c>
      <c r="AR12" s="1352">
        <f ca="1">B12</f>
        <v>5138</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IF('Ввод исходных данных'!$D$19='классы ЭЭ и выбросы ПГ'!AV$4,IF($AR12&lt;3000,SLOPE(AV5:AV6,$AR5:$AR6)*$AR12+INTERCEPT(AV5:AV6,$AR5:$AR6),SLOPE(AV6:AV11,$AR6:$AR11)*$AR12+INTERCEPT(AV6:AV11,$AR6:$AR11)),0)</f>
        <v>0</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 ca="1">IF('Ввод исходных данных'!$D$19='классы ЭЭ и выбросы ПГ'!AZ$4,IF($AR12&lt;3000,SLOPE(AZ5:AZ6,$AR5:$AR6)*$AR12+INTERCEPT(AZ5:AZ6,$AR5:$AR6),SLOPE(AZ6:AZ11,$AR6:$AR11)*$AR12+INTERCEPT(AZ6:AZ11,$AR6:$AR11)),0)</f>
        <v>251.14259803921567</v>
      </c>
      <c r="BA12" s="1352">
        <f>IF('Ввод исходных данных'!$D$19='классы ЭЭ и выбросы ПГ'!BA$4,IF($AR12&lt;3000,SLOPE(BA5:BA6,$AR5:$AR6)*$AR12+INTERCEPT(BA5:BA6,$AR5:$AR6),SLOPE(BA6:BA11,$AR6:$AR11)*$AR12+INTERCEPT(BA6:BA11,$AR6:$AR11)),0)</f>
        <v>0</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251.14259803921567</v>
      </c>
    </row>
    <row r="13" spans="1:61" ht="16.5" customHeight="1" x14ac:dyDescent="0.25">
      <c r="A13" s="2582"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2"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2"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2"/>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2"/>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f>AO12/X12</f>
        <v>4.5977134862659655E-2</v>
      </c>
      <c r="AP14" s="1424"/>
      <c r="AQ14" s="2582"/>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2"/>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2"/>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2"/>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2"/>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2"/>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2"/>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2"/>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2"/>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2"/>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2"/>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2"/>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2"/>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2"/>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2"/>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2"/>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5138</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IF('Ввод исходных данных'!$D$19='классы ЭЭ и выбросы ПГ'!F$4,IF($B20&lt;3000,SLOPE(F13:F14,$B13:$B14)+INTERCEPT(F13:F14,$B13:$B14)*$B20,SLOPE(F14:F19,$B14:$B19)*$B20+INTERCEPT(F14:F19,$B14:$B19)),0)</f>
        <v>0</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 ca="1">IF('Ввод исходных данных'!$D$19='классы ЭЭ и выбросы ПГ'!J$4,IF($B20&lt;3000,SLOPE(J13:J14,$B13:$B14)+INTERCEPT(J13:J14,$B13:$B14)*$B20,SLOPE(J14:J19,$B14:$B19)*$B20+INTERCEPT(J14:J19,$B14:$B19)),0)</f>
        <v>103.96073529411764</v>
      </c>
      <c r="K20" s="1352">
        <f>IF('Ввод исходных данных'!$D$19='классы ЭЭ и выбросы ПГ'!K$4,IF($B20&lt;3000,SLOPE(K13:K14,$B13:$B14)+INTERCEPT(K13:K14,$B13:$B14)*$B20,SLOPE(K14:K19,$B14:$B19)*$B20+INTERCEPT(K14:K19,$B14:$B19)),0)</f>
        <v>0</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103.96073529411764</v>
      </c>
      <c r="W20" s="1372" t="s">
        <v>1262</v>
      </c>
      <c r="X20" s="1352">
        <f>'Рейтинг МКД'!$D$11</f>
        <v>5737.5</v>
      </c>
      <c r="Y20" s="1352">
        <f>IF('Рейтинг МКД'!$D$13&lt;='классы ЭЭ и выбросы ПГ'!Y$4,IF($X20&lt;3000,SLOPE(Y13:Y14,$X13:$X14)*$X20+INTERCEPT(Y13:Y14,$X13:$X14),SLOPE(Y14:Y19,$X14:$X19)*$X20+INTERCEPT(Y14:Y19,$X14:$X19)),0)</f>
        <v>0</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115.28952205882352</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f>SUM(Y20:AN20)</f>
        <v>115.28952205882352</v>
      </c>
      <c r="AQ20" s="1374" t="s">
        <v>1262</v>
      </c>
      <c r="AR20" s="1352">
        <f ca="1">AR12</f>
        <v>5138</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IF('Ввод исходных данных'!$D$19='классы ЭЭ и выбросы ПГ'!AV$4,IF($AR20&lt;3000,SLOPE(AV13:AV14,$AR13:$AR14)+INTERCEPT(AV13:AV14,$AR13:$AR14)*$AR20,SLOPE(AV14:AV19,$AR14:$AR19)*$AR20+INTERCEPT(AV14:AV19,$AR14:$AR19)),0)</f>
        <v>0</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 ca="1">IF('Ввод исходных данных'!$D$19='классы ЭЭ и выбросы ПГ'!AZ$4,IF($AR20&lt;3000,SLOPE(AZ13:AZ14,$AR13:$AR14)+INTERCEPT(AZ13:AZ14,$AR13:$AR14)*$AR20,SLOPE(AZ14:AZ19,$AR14:$AR19)*$AR20+INTERCEPT(AZ14:AZ19,$AR14:$AR19)),0)</f>
        <v>103.96073529411764</v>
      </c>
      <c r="BA20" s="1352">
        <f>IF('Ввод исходных данных'!$D$19='классы ЭЭ и выбросы ПГ'!BA$4,IF($AR20&lt;3000,SLOPE(BA13:BA14,$AR13:$AR14)+INTERCEPT(BA13:BA14,$AR13:$AR14)*$AR20,SLOPE(BA14:BA19,$AR14:$AR19)*$AR20+INTERCEPT(BA14:BA19,$AR14:$AR19)),0)</f>
        <v>0</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103.96073529411764</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266.21936357599344</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7"/>
      <c r="E24" s="13"/>
      <c r="G24" s="13"/>
      <c r="I24" s="13"/>
      <c r="K24" s="13"/>
      <c r="M24" s="13"/>
      <c r="N24" s="13"/>
      <c r="O24" s="13"/>
      <c r="P24" s="13"/>
      <c r="Q24" s="13"/>
      <c r="R24" s="13"/>
      <c r="S24" s="1354"/>
      <c r="X24" s="13" t="str">
        <f>C27</f>
        <v>A++</v>
      </c>
      <c r="Y24" s="1355" t="str">
        <f>IF('Рейтинг МКД'!$D$27&lt;=0.4*'классы ЭЭ и выбросы ПГ'!$AO$12,"A++","")</f>
        <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str">
        <f>IF(AND('Рейтинг МКД'!$D$27&gt;0.4*'классы ЭЭ и выбросы ПГ'!$AO$12,'Рейтинг МКД'!$D$27&lt;=0.5*'классы ЭЭ и выбросы ПГ'!$AO$12),"A+","")</f>
        <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str">
        <f>IF(AND('Рейтинг МКД'!$D$27&gt;0.5*'классы ЭЭ и выбросы ПГ'!$AO$12,'Рейтинг МКД'!$D$27&lt;=0.6*'классы ЭЭ и выбросы ПГ'!$AO$12),"A","")</f>
        <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str">
        <f>IF(AND('Рейтинг МКД'!$D$27&gt;0.6*'классы ЭЭ и выбросы ПГ'!$AO$12,'Рейтинг МКД'!$D$27&lt;=0.7*'классы ЭЭ и выбросы ПГ'!$AO$12),"B","")</f>
        <v/>
      </c>
      <c r="Z27" s="1356" t="s">
        <v>1802</v>
      </c>
      <c r="AA27" s="1357" t="s">
        <v>1803</v>
      </c>
      <c r="AQ27" s="13"/>
      <c r="AR27" s="13" t="str">
        <f t="shared" si="57"/>
        <v>B</v>
      </c>
      <c r="AS27" s="1355" t="str">
        <f ca="1">IF(AND(AS22&gt;0.6*'классы ЭЭ и выбросы ПГ'!$BI$12,AS22&lt;=0.7*'классы ЭЭ и выбросы ПГ'!$BI$12),AR27,"")</f>
        <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str">
        <f>IF(AND('Рейтинг МКД'!$D$27&gt;0.7*'классы ЭЭ и выбросы ПГ'!$AO$12,'Рейтинг МКД'!$D$27&lt;=0.85*'классы ЭЭ и выбросы ПГ'!$AO$12),"C","")</f>
        <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str">
        <f>IF(AND('Рейтинг МКД'!$D$27&gt;0.85*'классы ЭЭ и выбросы ПГ'!$AO$12,'Рейтинг МКД'!$D$27&lt;=1*'классы ЭЭ и выбросы ПГ'!$AO$12),"D","")</f>
        <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30" s="1356" t="s">
        <v>1802</v>
      </c>
      <c r="G30" s="1357" t="s">
        <v>1803</v>
      </c>
      <c r="I30" s="1355"/>
      <c r="X30" s="13" t="str">
        <f t="shared" si="56"/>
        <v>E</v>
      </c>
      <c r="Y30" s="1355" t="str">
        <f>IF(AND('Рейтинг МКД'!$D$27&gt;1*'классы ЭЭ и выбросы ПГ'!$AO$12,'Рейтинг МКД'!$D$27&lt;=1.25*'классы ЭЭ и выбросы ПГ'!$AO$12),"E","")</f>
        <v>E</v>
      </c>
      <c r="Z30" s="1356" t="s">
        <v>1808</v>
      </c>
      <c r="AA30" s="1357" t="s">
        <v>1809</v>
      </c>
      <c r="AQ30" s="13"/>
      <c r="AR30" s="13" t="str">
        <f t="shared" si="57"/>
        <v>E</v>
      </c>
      <c r="AS30" s="1355" t="str">
        <f ca="1">IF(AND(AS22&gt;1*'классы ЭЭ и выбросы ПГ'!$BI$12,AS22&lt;=1.25*'классы ЭЭ и выбросы ПГ'!$BI$12),AR30,"")</f>
        <v>E</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str">
        <f>IF(AND('Рейтинг МКД'!$D$27&gt;1.25*'классы ЭЭ и выбросы ПГ'!$AO$12,'Рейтинг МКД'!$D$27&lt;=1.5*'классы ЭЭ и выбросы ПГ'!$AO$12),"F","")</f>
        <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str">
        <f>IF('Рейтинг МКД'!$D$27&gt;1.5*'классы ЭЭ и выбросы ПГ'!$AO$12,"G","")</f>
        <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1</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'Расчет базового уровня'!D10*'классы ЭЭ и выбросы ПГ'!B44</f>
        <v>785.70737775765872</v>
      </c>
      <c r="F44" s="13">
        <f>C44*'Расчет базового уровня'!D18/1000</f>
        <v>10.371299950399999</v>
      </c>
      <c r="G44" s="13">
        <f ca="1">'Расчет после реализации'!D9*0.86/1000*'классы ЭЭ и выбросы ПГ'!B44</f>
        <v>702.16962801093257</v>
      </c>
      <c r="H44" s="13">
        <f ca="1">C44*'Расчет после реализации'!D18/1000</f>
        <v>11.395220949284203</v>
      </c>
      <c r="W44" t="s">
        <v>2025</v>
      </c>
      <c r="X44" s="1422">
        <f>X12</f>
        <v>5737.5</v>
      </c>
      <c r="Y44">
        <f>IF($X44&lt;3000,SLOPE(Y5:Y6,$X5:$X6)*$X44+INTERCEPT(Y5:Y6,$X5:$X6),$X44*SLOPE(Y$6:Y$11,$X$6:$X$11)+INTERCEPT(Y$6:Y$11,$X$6:$X$11))</f>
        <v>305.22401960784316</v>
      </c>
      <c r="Z44" s="13">
        <f t="shared" ref="Z44:AN44" si="60">IF($X44&lt;3000,SLOPE(Z5:Z6,$X5:$X6)*$X44+INTERCEPT(Z5:Z6,$X5:$X6),$X44*SLOPE(Z$6:Z$11,$X$6:$X$11)+INTERCEPT(Z$6:Z$11,$X$6:$X$11))</f>
        <v>293.27604166666669</v>
      </c>
      <c r="AA44" s="13">
        <f t="shared" si="60"/>
        <v>281.32806372549021</v>
      </c>
      <c r="AB44" s="13">
        <f t="shared" si="60"/>
        <v>277.35055147058824</v>
      </c>
      <c r="AC44" s="13">
        <f t="shared" si="60"/>
        <v>273.37303921568628</v>
      </c>
      <c r="AD44" s="13">
        <f t="shared" si="60"/>
        <v>270.17481617647059</v>
      </c>
      <c r="AE44" s="13">
        <f t="shared" si="60"/>
        <v>266.97659313725489</v>
      </c>
      <c r="AF44" s="13">
        <f t="shared" si="60"/>
        <v>263.79381127450978</v>
      </c>
      <c r="AG44" s="13">
        <f t="shared" si="60"/>
        <v>260.61102941176472</v>
      </c>
      <c r="AH44" s="13">
        <f t="shared" si="60"/>
        <v>259.0177083333333</v>
      </c>
      <c r="AI44" s="13">
        <f t="shared" si="60"/>
        <v>257.424387254902</v>
      </c>
      <c r="AJ44" s="13">
        <f t="shared" si="60"/>
        <v>255.83106617647059</v>
      </c>
      <c r="AK44" s="13">
        <f t="shared" si="60"/>
        <v>254.23774509803917</v>
      </c>
      <c r="AL44" s="13">
        <f t="shared" si="60"/>
        <v>252.64442401960787</v>
      </c>
      <c r="AM44" s="13">
        <f t="shared" si="60"/>
        <v>251.05110294117645</v>
      </c>
      <c r="AN44" s="13">
        <f t="shared" si="60"/>
        <v>249.45778186274509</v>
      </c>
    </row>
    <row r="45" spans="1:61" s="13" customFormat="1" ht="16.5" customHeight="1" x14ac:dyDescent="0.25">
      <c r="C45" s="1361"/>
      <c r="X45" s="1422"/>
      <c r="Y45" s="13">
        <f>Y44/$X$44</f>
        <v>5.3198086206160025E-2</v>
      </c>
      <c r="Z45" s="13">
        <f t="shared" ref="Z45:AN45" si="61">Z44/$X$44</f>
        <v>5.1115649963689183E-2</v>
      </c>
      <c r="AA45" s="13">
        <f t="shared" si="61"/>
        <v>4.9033213721218334E-2</v>
      </c>
      <c r="AB45" s="13">
        <f t="shared" si="61"/>
        <v>4.833996539792388E-2</v>
      </c>
      <c r="AC45" s="13">
        <f t="shared" si="61"/>
        <v>4.7646717074629419E-2</v>
      </c>
      <c r="AD45" s="13">
        <f t="shared" si="61"/>
        <v>4.7089292579777009E-2</v>
      </c>
      <c r="AE45" s="13">
        <f t="shared" si="61"/>
        <v>4.6531868084924599E-2</v>
      </c>
      <c r="AF45" s="13">
        <f t="shared" si="61"/>
        <v>4.5977134862659655E-2</v>
      </c>
      <c r="AG45" s="13">
        <f t="shared" si="61"/>
        <v>4.5422401640394724E-2</v>
      </c>
      <c r="AH45" s="13">
        <f t="shared" si="61"/>
        <v>4.5144698620188814E-2</v>
      </c>
      <c r="AI45" s="13">
        <f t="shared" si="61"/>
        <v>4.4866995599982917E-2</v>
      </c>
      <c r="AJ45" s="13">
        <f t="shared" si="61"/>
        <v>4.4589292579777007E-2</v>
      </c>
      <c r="AK45" s="13">
        <f t="shared" si="61"/>
        <v>4.4311589559571096E-2</v>
      </c>
      <c r="AL45" s="13">
        <f t="shared" si="61"/>
        <v>4.4033886539365207E-2</v>
      </c>
      <c r="AM45" s="13">
        <f t="shared" si="61"/>
        <v>4.3756183519159296E-2</v>
      </c>
      <c r="AN45" s="13">
        <f t="shared" si="61"/>
        <v>4.3478480498953392E-2</v>
      </c>
    </row>
    <row r="46" spans="1:61" ht="16.5" customHeight="1" x14ac:dyDescent="0.25">
      <c r="X46" s="1422">
        <f>X44</f>
        <v>5737.5</v>
      </c>
      <c r="Y46" s="13">
        <f>IF($X$46&lt;3000,SLOPE(Y13:Y14,$X13:$X14)*$X$46+INTERCEPT(Y13:Y14,$X13:$X14),$X$46*SLOPE(Y$14:Y$19,$X$14:$X$19)+INTERCEPT(Y$14:Y$19,$X$14:$X$19))</f>
        <v>186.96286764705883</v>
      </c>
      <c r="Z46" s="13">
        <f t="shared" ref="Z46:AN46" si="62">IF($X$46&lt;3000,SLOPE(Z13:Z14,$X13:$X14)*$X$46+INTERCEPT(Z13:Z14,$X13:$X14),$X$46*SLOPE(Z$14:Z$19,$X$14:$X$19)+INTERCEPT(Z$14:Z$19,$X$14:$X$19))</f>
        <v>171.38069852941177</v>
      </c>
      <c r="AA46" s="13">
        <f t="shared" si="62"/>
        <v>155.79852941176469</v>
      </c>
      <c r="AB46" s="13">
        <f t="shared" si="62"/>
        <v>140.22794117647058</v>
      </c>
      <c r="AC46" s="13">
        <f t="shared" si="62"/>
        <v>124.65735294117647</v>
      </c>
      <c r="AD46" s="13">
        <f t="shared" si="62"/>
        <v>121.52702205882353</v>
      </c>
      <c r="AE46" s="13">
        <f t="shared" si="62"/>
        <v>118.39669117647058</v>
      </c>
      <c r="AF46" s="13">
        <f t="shared" si="62"/>
        <v>115.28952205882352</v>
      </c>
      <c r="AG46" s="13">
        <f t="shared" si="62"/>
        <v>112.18235294117648</v>
      </c>
      <c r="AH46" s="13">
        <f t="shared" si="62"/>
        <v>110.65692401960784</v>
      </c>
      <c r="AI46" s="13">
        <f t="shared" si="62"/>
        <v>109.13149509803921</v>
      </c>
      <c r="AJ46" s="13">
        <f t="shared" si="62"/>
        <v>107.60606617647059</v>
      </c>
      <c r="AK46" s="13">
        <f t="shared" si="62"/>
        <v>106.08063725490197</v>
      </c>
      <c r="AL46" s="13">
        <f t="shared" si="62"/>
        <v>104.55520833333333</v>
      </c>
      <c r="AM46" s="13">
        <f t="shared" si="62"/>
        <v>103.02977941176471</v>
      </c>
      <c r="AN46" s="13">
        <f t="shared" si="62"/>
        <v>101.50435049019607</v>
      </c>
    </row>
    <row r="47" spans="1:61" s="13" customFormat="1" ht="16.5" customHeight="1" x14ac:dyDescent="0.25">
      <c r="X47" s="1422"/>
      <c r="Y47" s="13">
        <f t="shared" ref="Y47:AN47" si="63">Y46/$X$44</f>
        <v>3.2586120722798921E-2</v>
      </c>
      <c r="Z47" s="13">
        <f t="shared" si="63"/>
        <v>2.9870274253492247E-2</v>
      </c>
      <c r="AA47" s="13">
        <f t="shared" si="63"/>
        <v>2.7154427784185566E-2</v>
      </c>
      <c r="AB47" s="13">
        <f t="shared" si="63"/>
        <v>2.444059976931949E-2</v>
      </c>
      <c r="AC47" s="13">
        <f t="shared" si="63"/>
        <v>2.1726771754453415E-2</v>
      </c>
      <c r="AD47" s="13">
        <f t="shared" si="63"/>
        <v>2.1181180315263361E-2</v>
      </c>
      <c r="AE47" s="13">
        <f t="shared" si="63"/>
        <v>2.0635588876073304E-2</v>
      </c>
      <c r="AF47" s="13">
        <f t="shared" si="63"/>
        <v>2.0094034345764449E-2</v>
      </c>
      <c r="AG47" s="13">
        <f t="shared" si="63"/>
        <v>1.9552479815455596E-2</v>
      </c>
      <c r="AH47" s="13">
        <f t="shared" si="63"/>
        <v>1.9286609850912042E-2</v>
      </c>
      <c r="AI47" s="13">
        <f t="shared" si="63"/>
        <v>1.9020739886368491E-2</v>
      </c>
      <c r="AJ47" s="13">
        <f t="shared" si="63"/>
        <v>1.875486992182494E-2</v>
      </c>
      <c r="AK47" s="13">
        <f t="shared" si="63"/>
        <v>1.8488999957281389E-2</v>
      </c>
      <c r="AL47" s="13">
        <f t="shared" si="63"/>
        <v>1.8223129992737834E-2</v>
      </c>
      <c r="AM47" s="13">
        <f t="shared" si="63"/>
        <v>1.7957260028194283E-2</v>
      </c>
      <c r="AN47" s="13">
        <f t="shared" si="63"/>
        <v>1.7691390063650732E-2</v>
      </c>
    </row>
    <row r="48" spans="1:61" ht="16.5" customHeight="1" x14ac:dyDescent="0.25">
      <c r="X48" s="1422">
        <f>X46</f>
        <v>5737.5</v>
      </c>
      <c r="Y48">
        <f>Y44-Y46-10</f>
        <v>108.26115196078433</v>
      </c>
      <c r="Z48" s="13">
        <f t="shared" ref="Z48:AN48" si="64">Z44-Z46-10</f>
        <v>111.89534313725491</v>
      </c>
      <c r="AA48" s="13">
        <f t="shared" si="64"/>
        <v>115.52953431372552</v>
      </c>
      <c r="AB48" s="13">
        <f t="shared" si="64"/>
        <v>127.12261029411766</v>
      </c>
      <c r="AC48" s="13">
        <f t="shared" si="64"/>
        <v>138.71568627450981</v>
      </c>
      <c r="AD48" s="13">
        <f t="shared" si="64"/>
        <v>138.64779411764704</v>
      </c>
      <c r="AE48" s="13">
        <f t="shared" si="64"/>
        <v>138.5799019607843</v>
      </c>
      <c r="AF48" s="13">
        <f t="shared" si="64"/>
        <v>138.50428921568624</v>
      </c>
      <c r="AG48" s="13">
        <f t="shared" si="64"/>
        <v>138.42867647058824</v>
      </c>
      <c r="AH48" s="13">
        <f t="shared" si="64"/>
        <v>138.36078431372545</v>
      </c>
      <c r="AI48" s="13">
        <f t="shared" si="64"/>
        <v>138.29289215686279</v>
      </c>
      <c r="AJ48" s="13">
        <f t="shared" si="64"/>
        <v>138.22499999999999</v>
      </c>
      <c r="AK48" s="13">
        <f t="shared" si="64"/>
        <v>138.1571078431372</v>
      </c>
      <c r="AL48" s="13">
        <f t="shared" si="64"/>
        <v>138.08921568627454</v>
      </c>
      <c r="AM48" s="13">
        <f t="shared" si="64"/>
        <v>138.02132352941175</v>
      </c>
      <c r="AN48" s="13">
        <f t="shared" si="64"/>
        <v>137.95343137254901</v>
      </c>
    </row>
    <row r="50" spans="23:40" ht="16.5" customHeight="1" x14ac:dyDescent="0.25">
      <c r="W50" t="s">
        <v>2026</v>
      </c>
      <c r="X50" s="1422">
        <f ca="1">B12</f>
        <v>5138</v>
      </c>
      <c r="Y50" s="13">
        <f ca="1">IF($X50&lt;3000,SLOPE(Y5:Y6,$X5:$X6)*$X50+INTERCEPT(Y5:Y6,$X5:$X6),$X50*SLOPE(Y$6:Y$11,$X$6:$X$11)+INTERCEPT(Y$6:Y$11,$X$6:$X$11))</f>
        <v>288.22643137254903</v>
      </c>
      <c r="Z50" s="13">
        <f t="shared" ref="Z50:AN50" ca="1" si="65">IF($X50&lt;3000,SLOPE(Z5:Z6,$X5:$X6)*$X50+INTERCEPT(Z5:Z6,$X5:$X6),$X50*SLOPE(Z$6:Z$11,$X$6:$X$11)+INTERCEPT(Z$6:Z$11,$X$6:$X$11))</f>
        <v>277.53916666666669</v>
      </c>
      <c r="AA50" s="13">
        <f t="shared" ca="1" si="65"/>
        <v>266.85190196078435</v>
      </c>
      <c r="AB50" s="13">
        <f t="shared" ca="1" si="65"/>
        <v>263.30638235294117</v>
      </c>
      <c r="AC50" s="13">
        <f t="shared" ca="1" si="65"/>
        <v>259.760862745098</v>
      </c>
      <c r="AD50" s="13">
        <f t="shared" ca="1" si="65"/>
        <v>256.87120588235291</v>
      </c>
      <c r="AE50" s="13">
        <f t="shared" ca="1" si="65"/>
        <v>253.98154901960785</v>
      </c>
      <c r="AF50" s="13">
        <f t="shared" ca="1" si="65"/>
        <v>251.14259803921567</v>
      </c>
      <c r="AG50" s="13">
        <f t="shared" ca="1" si="65"/>
        <v>248.30364705882351</v>
      </c>
      <c r="AH50" s="13">
        <f t="shared" ca="1" si="65"/>
        <v>246.87783333333331</v>
      </c>
      <c r="AI50" s="13">
        <f t="shared" ca="1" si="65"/>
        <v>245.45201960784317</v>
      </c>
      <c r="AJ50" s="13">
        <f t="shared" ca="1" si="65"/>
        <v>244.02620588235294</v>
      </c>
      <c r="AK50" s="13">
        <f t="shared" ca="1" si="65"/>
        <v>242.60039215686271</v>
      </c>
      <c r="AL50" s="13">
        <f t="shared" ca="1" si="65"/>
        <v>241.17457843137254</v>
      </c>
      <c r="AM50" s="13">
        <f t="shared" ca="1" si="65"/>
        <v>239.74876470588237</v>
      </c>
      <c r="AN50" s="13">
        <f t="shared" ca="1" si="65"/>
        <v>238.32295098039214</v>
      </c>
    </row>
    <row r="51" spans="23:40" ht="16.5" customHeight="1" x14ac:dyDescent="0.25">
      <c r="X51" s="1422"/>
      <c r="Y51" s="13">
        <f ca="1">Y50/$X$50</f>
        <v>5.6097008830780268E-2</v>
      </c>
      <c r="Z51" s="13">
        <f t="shared" ref="Z51:AN51" ca="1" si="66">Z50/$X$50</f>
        <v>5.401696509666537E-2</v>
      </c>
      <c r="AA51" s="13">
        <f t="shared" ca="1" si="66"/>
        <v>5.1936921362550473E-2</v>
      </c>
      <c r="AB51" s="13">
        <f t="shared" ca="1" si="66"/>
        <v>5.1246863050397266E-2</v>
      </c>
      <c r="AC51" s="13">
        <f t="shared" ca="1" si="66"/>
        <v>5.055680473824406E-2</v>
      </c>
      <c r="AD51" s="13">
        <f t="shared" ca="1" si="66"/>
        <v>4.999439585098344E-2</v>
      </c>
      <c r="AE51" s="13">
        <f t="shared" ca="1" si="66"/>
        <v>4.9431986963722821E-2</v>
      </c>
      <c r="AF51" s="13">
        <f t="shared" ca="1" si="66"/>
        <v>4.8879446874117494E-2</v>
      </c>
      <c r="AG51" s="13">
        <f t="shared" ca="1" si="66"/>
        <v>4.8326906784512166E-2</v>
      </c>
      <c r="AH51" s="13">
        <f t="shared" ca="1" si="66"/>
        <v>4.804940314000259E-2</v>
      </c>
      <c r="AI51" s="13">
        <f t="shared" ca="1" si="66"/>
        <v>4.7771899495493028E-2</v>
      </c>
      <c r="AJ51" s="13">
        <f t="shared" ca="1" si="66"/>
        <v>4.7494395850983445E-2</v>
      </c>
      <c r="AK51" s="13">
        <f t="shared" ca="1" si="66"/>
        <v>4.7216892206473862E-2</v>
      </c>
      <c r="AL51" s="13">
        <f t="shared" ca="1" si="66"/>
        <v>4.6939388561964293E-2</v>
      </c>
      <c r="AM51" s="13">
        <f t="shared" ca="1" si="66"/>
        <v>4.6661884917454724E-2</v>
      </c>
      <c r="AN51" s="13">
        <f t="shared" ca="1" si="66"/>
        <v>4.6384381272945141E-2</v>
      </c>
    </row>
    <row r="52" spans="23:40" ht="16.5" customHeight="1" x14ac:dyDescent="0.25">
      <c r="X52" s="1422">
        <f ca="1">X50</f>
        <v>5138</v>
      </c>
      <c r="Y52" s="13">
        <f ca="1">IF($X52&lt;3000,SLOPE(Y13:Y14,$X13:$X14)*$X52+INTERCEPT(Y13:Y14,$X13:$X14),$X52*SLOPE(Y$14:Y$19,$X$14:$X$19)+INTERCEPT(Y$14:Y$19,$X$14:$X$19))</f>
        <v>168.60758823529412</v>
      </c>
      <c r="Z52" s="13">
        <f t="shared" ref="Z52:AN52" ca="1" si="67">IF($X52&lt;3000,SLOPE(Z13:Z14,$X13:$X14)*$X52+INTERCEPT(Z13:Z14,$X13:$X14),$X52*SLOPE(Z$14:Z$19,$X$14:$X$19)+INTERCEPT(Z$14:Z$19,$X$14:$X$19))</f>
        <v>154.55061764705883</v>
      </c>
      <c r="AA52" s="13">
        <f t="shared" ca="1" si="67"/>
        <v>140.49364705882354</v>
      </c>
      <c r="AB52" s="13">
        <f t="shared" ca="1" si="67"/>
        <v>126.47470588235294</v>
      </c>
      <c r="AC52" s="13">
        <f t="shared" ca="1" si="67"/>
        <v>112.45576470588236</v>
      </c>
      <c r="AD52" s="13">
        <f t="shared" ca="1" si="67"/>
        <v>109.59873529411765</v>
      </c>
      <c r="AE52" s="13">
        <f t="shared" ca="1" si="67"/>
        <v>106.74170588235293</v>
      </c>
      <c r="AF52" s="13">
        <f t="shared" ca="1" si="67"/>
        <v>103.96073529411764</v>
      </c>
      <c r="AG52" s="13">
        <f t="shared" ca="1" si="67"/>
        <v>101.17976470588235</v>
      </c>
      <c r="AH52" s="13">
        <f t="shared" ca="1" si="67"/>
        <v>99.786578431372547</v>
      </c>
      <c r="AI52" s="13">
        <f t="shared" ca="1" si="67"/>
        <v>98.393392156862745</v>
      </c>
      <c r="AJ52" s="13">
        <f t="shared" ca="1" si="67"/>
        <v>97.000205882352944</v>
      </c>
      <c r="AK52" s="13">
        <f t="shared" ca="1" si="67"/>
        <v>95.607019607843142</v>
      </c>
      <c r="AL52" s="13">
        <f t="shared" ca="1" si="67"/>
        <v>94.213833333333326</v>
      </c>
      <c r="AM52" s="13">
        <f t="shared" ca="1" si="67"/>
        <v>92.820647058823525</v>
      </c>
      <c r="AN52" s="13">
        <f t="shared" ca="1" si="67"/>
        <v>91.427460784313723</v>
      </c>
    </row>
    <row r="53" spans="23:40" ht="16.5" customHeight="1" x14ac:dyDescent="0.25">
      <c r="X53" s="1422"/>
      <c r="Y53" s="13">
        <f ca="1">Y52/$X$52</f>
        <v>3.2815801524969664E-2</v>
      </c>
      <c r="Z53" s="13">
        <f t="shared" ref="Z53:AN53" ca="1" si="68">Z52/$X$52</f>
        <v>3.0079917798181945E-2</v>
      </c>
      <c r="AA53" s="13">
        <f t="shared" ca="1" si="68"/>
        <v>2.7344034071394227E-2</v>
      </c>
      <c r="AB53" s="13">
        <f t="shared" ca="1" si="68"/>
        <v>2.4615551942847983E-2</v>
      </c>
      <c r="AC53" s="13">
        <f t="shared" ca="1" si="68"/>
        <v>2.1887069814301743E-2</v>
      </c>
      <c r="AD53" s="13">
        <f t="shared" ca="1" si="68"/>
        <v>2.1331011151054426E-2</v>
      </c>
      <c r="AE53" s="13">
        <f t="shared" ca="1" si="68"/>
        <v>2.077495248780711E-2</v>
      </c>
      <c r="AF53" s="13">
        <f t="shared" ca="1" si="68"/>
        <v>2.0233697021042749E-2</v>
      </c>
      <c r="AG53" s="13">
        <f t="shared" ca="1" si="68"/>
        <v>1.9692441554278385E-2</v>
      </c>
      <c r="AH53" s="13">
        <f t="shared" ca="1" si="68"/>
        <v>1.9421288133782123E-2</v>
      </c>
      <c r="AI53" s="13">
        <f t="shared" ca="1" si="68"/>
        <v>1.915013471328586E-2</v>
      </c>
      <c r="AJ53" s="13">
        <f t="shared" ca="1" si="68"/>
        <v>1.8878981292789594E-2</v>
      </c>
      <c r="AK53" s="13">
        <f t="shared" ca="1" si="68"/>
        <v>1.8607827872293332E-2</v>
      </c>
      <c r="AL53" s="13">
        <f t="shared" ca="1" si="68"/>
        <v>1.8336674451797066E-2</v>
      </c>
      <c r="AM53" s="13">
        <f t="shared" ca="1" si="68"/>
        <v>1.8065521031300803E-2</v>
      </c>
      <c r="AN53" s="13">
        <f t="shared" ca="1" si="68"/>
        <v>1.7794367610804541E-2</v>
      </c>
    </row>
    <row r="54" spans="23:40" ht="16.5" customHeight="1" x14ac:dyDescent="0.25">
      <c r="X54" s="1422">
        <f ca="1">X52</f>
        <v>5138</v>
      </c>
      <c r="Y54" s="13">
        <f t="shared" ref="Y54:AN54" ca="1" si="69">Y50-Y52-10</f>
        <v>109.61884313725491</v>
      </c>
      <c r="Z54" s="13">
        <f t="shared" ca="1" si="69"/>
        <v>112.98854901960786</v>
      </c>
      <c r="AA54" s="13">
        <f t="shared" ca="1" si="69"/>
        <v>116.35825490196081</v>
      </c>
      <c r="AB54" s="13">
        <f t="shared" ca="1" si="69"/>
        <v>126.83167647058823</v>
      </c>
      <c r="AC54" s="13">
        <f t="shared" ca="1" si="69"/>
        <v>137.30509803921564</v>
      </c>
      <c r="AD54" s="13">
        <f t="shared" ca="1" si="69"/>
        <v>137.27247058823525</v>
      </c>
      <c r="AE54" s="13">
        <f t="shared" ca="1" si="69"/>
        <v>137.23984313725492</v>
      </c>
      <c r="AF54" s="13">
        <f t="shared" ca="1" si="69"/>
        <v>137.18186274509804</v>
      </c>
      <c r="AG54" s="13">
        <f t="shared" ca="1" si="69"/>
        <v>137.12388235294117</v>
      </c>
      <c r="AH54" s="13">
        <f t="shared" ca="1" si="69"/>
        <v>137.09125490196078</v>
      </c>
      <c r="AI54" s="13">
        <f t="shared" ca="1" si="69"/>
        <v>137.05862745098042</v>
      </c>
      <c r="AJ54" s="13">
        <f t="shared" ca="1" si="69"/>
        <v>137.02600000000001</v>
      </c>
      <c r="AK54" s="13">
        <f t="shared" ca="1" si="69"/>
        <v>136.99337254901957</v>
      </c>
      <c r="AL54" s="13">
        <f t="shared" ca="1" si="69"/>
        <v>136.96074509803921</v>
      </c>
      <c r="AM54" s="13">
        <f t="shared" ca="1" si="69"/>
        <v>136.92811764705885</v>
      </c>
      <c r="AN54" s="13">
        <f t="shared" ca="1" si="69"/>
        <v>136.89549019607841</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W3:W4"/>
    <mergeCell ref="X3:X4"/>
    <mergeCell ref="Y3:AI3"/>
    <mergeCell ref="W5:W11"/>
    <mergeCell ref="W13:W19"/>
    <mergeCell ref="A3:A4"/>
    <mergeCell ref="B3:B4"/>
    <mergeCell ref="C3:M3"/>
    <mergeCell ref="A5:A11"/>
    <mergeCell ref="A13:A19"/>
    <mergeCell ref="AQ3:AQ4"/>
    <mergeCell ref="AR3:AR4"/>
    <mergeCell ref="AS3:BC3"/>
    <mergeCell ref="AQ5:AQ11"/>
    <mergeCell ref="AQ13:AQ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3.8163524461606466E-2</v>
      </c>
      <c r="V3" s="1367">
        <f>'Расчет базового уровня'!D15/('Ввод исходных данных'!$G$56+'Ввод исходных данных'!$D$23)</f>
        <v>99.075038659282839</v>
      </c>
      <c r="W3" s="1367">
        <f>'Расчет базового уровня'!D6/('Ввод исходных данных'!$G$56+'Ввод исходных данных'!$D$23)</f>
        <v>297.38177264376628</v>
      </c>
      <c r="Y3" s="13">
        <f ca="1">'Расчет после реализации'!D12/('Ввод исходных данных'!$G$56+'Ввод исходных данных'!$D$23)/'Ввод исходных данных'!G285</f>
        <v>3.2055732919976834E-2</v>
      </c>
      <c r="Z3" s="1367">
        <f ca="1">'Расчет после реализации'!D15/('Ввод исходных данных'!$G$56+'Ввод исходных данных'!$D$23)</f>
        <v>99.075038659282839</v>
      </c>
      <c r="AA3" s="1367">
        <f ca="1">'Расчет после реализации'!D6/('Ввод исходных данных'!$G$56+'Ввод исходных данных'!$D$23)</f>
        <v>266.21936357599344</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21.8</v>
      </c>
      <c r="D5" s="1364">
        <f ca="1">B5*'Ввод исходных данных'!$G$285+C5+IF('Ввод исходных данных'!$D$159=0,7,10)</f>
        <v>83.18</v>
      </c>
      <c r="E5" s="1431">
        <f ca="1">IF(D5&lt;=$N$423,D5,"")</f>
        <v>83.18</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1.9963069287660569E-2</v>
      </c>
      <c r="O5">
        <f ca="1">$B$106*B315+$C$106*C315+$D$106*D315+$E$106*E315+$F$106*F315+$G$106*G315+$H$106*H315+$I$106*I315+$J$106*J315+$K$106*K315+$L$106*L315+$M$106*M315</f>
        <v>137.15287254901961</v>
      </c>
      <c r="P5" s="1366">
        <f ca="1">'Ввод исходных данных'!$G$285*($B$106*B420+$C$106*C420+$D$106*D420+$E$106*E420+$F$106*F420+$G$106*G420+$H$106*H420+$I$106*I420+$J$106*J420+$K$106*K420+$L$106*L420+$M$106*M420)</f>
        <v>249.72312254901959</v>
      </c>
      <c r="Q5">
        <f ca="1">$B$106*B211+$C$106*C211+$D$106*D211+$E$106*E211+$F$106*F211+$G$106*G211+$H$106*H211+$I$106*I211+$J$106*J211+$K$106*K211+$L$106*L211+$M$106*M211</f>
        <v>7.9852277150642276E-3</v>
      </c>
      <c r="R5">
        <f ca="1">$B$106*B316+$C$106*C316+$D$106*D316+$E$106*E316+$F$106*F316+$G$106*G316+$H$106*H316+$I$106*I316+$J$106*J316+$K$106*K316+$L$106*L316+$M$106*M316</f>
        <v>54.861149019607844</v>
      </c>
      <c r="S5">
        <f ca="1">($B$106*B421+$C$106*C421+$D$106*D421+$E$106*E421+$F$106*F421+$G$106*G421+$H$106*H421+$I$106*I421+$J$106*J421+$K$106*K421+$L$106*L421+$M$106*M421)*'Ввод исходных данных'!$G$285</f>
        <v>99.889249019607846</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1.6E-2</v>
      </c>
      <c r="C6" s="1364">
        <f t="shared" ref="C6:C69" si="5">$B$106*B214+$C$106*C214+$D$106*D214+$E$106*E214+$F$106*F214+$G$106*G214+$H$106*H214+$I$106*I214+$J$106*J214+$K$106*K214+$L$106*L214+$M$106*M214</f>
        <v>21.8</v>
      </c>
      <c r="D6" s="1364">
        <f ca="1">B6*'Ввод исходных данных'!$G$285+C6+IF('Ввод исходных данных'!$D$159=0,7,10)</f>
        <v>114.008</v>
      </c>
      <c r="E6" s="1431" t="str">
        <f t="shared" ref="E6:E69" ca="1" si="6">IF(D6&lt;=$N$423,D6,"")</f>
        <v/>
      </c>
      <c r="F6" s="1364">
        <f t="shared" ref="F6:F69" ca="1" si="7">IF(AND($D6&lt;=$N$424,$D6&gt;$N$423),$D6,"")</f>
        <v>114.008</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1.9963069287660569E-2</v>
      </c>
      <c r="O6" s="13">
        <f t="shared" ca="1" si="15"/>
        <v>137.15287254901961</v>
      </c>
      <c r="P6" s="1366">
        <f t="shared" ca="1" si="15"/>
        <v>249.72312254901959</v>
      </c>
      <c r="Q6" s="13">
        <f t="shared" ca="1" si="15"/>
        <v>7.9852277150642276E-3</v>
      </c>
      <c r="R6" s="13">
        <f t="shared" ca="1" si="15"/>
        <v>54.861149019607844</v>
      </c>
      <c r="S6" s="1366">
        <f t="shared" ca="1" si="15"/>
        <v>99.889249019607846</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1.7000000000000001E-2</v>
      </c>
      <c r="C7" s="1364">
        <f t="shared" si="5"/>
        <v>21.8</v>
      </c>
      <c r="D7" s="1364">
        <f ca="1">B7*'Ввод исходных данных'!$G$285+C7+IF('Ввод исходных данных'!$D$159=0,7,10)</f>
        <v>119.146</v>
      </c>
      <c r="E7" s="1431" t="str">
        <f t="shared" ca="1" si="6"/>
        <v/>
      </c>
      <c r="F7" s="1364">
        <f t="shared" ca="1" si="7"/>
        <v>119.146</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1.9963069287660569E-2</v>
      </c>
      <c r="O7" s="13">
        <f t="shared" ref="O7:P70" ca="1" si="19">O6</f>
        <v>137.15287254901961</v>
      </c>
      <c r="P7" s="1366">
        <f t="shared" ca="1" si="19"/>
        <v>249.72312254901959</v>
      </c>
      <c r="Q7" s="13">
        <f t="shared" ref="Q7:Q70" ca="1" si="20">Q6</f>
        <v>7.9852277150642276E-3</v>
      </c>
      <c r="R7" s="13">
        <f t="shared" ref="R7:S70" ca="1" si="21">R6</f>
        <v>54.861149019607844</v>
      </c>
      <c r="S7" s="1366">
        <f t="shared" ca="1" si="21"/>
        <v>99.889249019607846</v>
      </c>
      <c r="U7" s="13" t="str">
        <f t="shared" ca="1" si="0"/>
        <v/>
      </c>
      <c r="V7" s="13" t="str">
        <f t="shared" si="1"/>
        <v/>
      </c>
      <c r="W7" s="13" t="str">
        <f t="shared" ca="1" si="16"/>
        <v/>
      </c>
      <c r="Y7" s="13" t="str">
        <f t="shared" ca="1" si="2"/>
        <v/>
      </c>
      <c r="Z7" s="13" t="str">
        <f t="shared" ca="1" si="3"/>
        <v/>
      </c>
      <c r="AA7" s="13" t="str">
        <f t="shared" ca="1" si="17"/>
        <v/>
      </c>
    </row>
    <row r="8" spans="1:27" x14ac:dyDescent="0.25">
      <c r="A8" s="1363">
        <v>0.04</v>
      </c>
      <c r="B8" s="13">
        <f t="shared" si="4"/>
        <v>1.7999999999999999E-2</v>
      </c>
      <c r="C8" s="1364">
        <f t="shared" si="5"/>
        <v>29.6</v>
      </c>
      <c r="D8" s="1364">
        <f ca="1">B8*'Ввод исходных данных'!$G$285+C8+IF('Ввод исходных данных'!$D$159=0,7,10)</f>
        <v>132.084</v>
      </c>
      <c r="E8" s="1431" t="str">
        <f t="shared" ca="1" si="6"/>
        <v/>
      </c>
      <c r="F8" s="1364" t="str">
        <f t="shared" ca="1" si="7"/>
        <v/>
      </c>
      <c r="G8" s="1364">
        <f t="shared" ca="1" si="8"/>
        <v>132.084</v>
      </c>
      <c r="H8" s="1364" t="str">
        <f t="shared" ca="1" si="9"/>
        <v/>
      </c>
      <c r="I8" s="1364" t="str">
        <f t="shared" ca="1" si="10"/>
        <v/>
      </c>
      <c r="J8" s="1364" t="str">
        <f t="shared" ca="1" si="11"/>
        <v/>
      </c>
      <c r="K8" s="1364" t="str">
        <f t="shared" ca="1" si="12"/>
        <v/>
      </c>
      <c r="L8" s="1364" t="str">
        <f t="shared" ca="1" si="13"/>
        <v/>
      </c>
      <c r="M8" s="1364" t="str">
        <f t="shared" ca="1" si="14"/>
        <v/>
      </c>
      <c r="N8" s="13">
        <f t="shared" ca="1" si="18"/>
        <v>1.9963069287660569E-2</v>
      </c>
      <c r="O8" s="13">
        <f t="shared" ca="1" si="19"/>
        <v>137.15287254901961</v>
      </c>
      <c r="P8" s="1366">
        <f t="shared" ca="1" si="19"/>
        <v>249.72312254901959</v>
      </c>
      <c r="Q8" s="13">
        <f t="shared" ca="1" si="20"/>
        <v>7.9852277150642276E-3</v>
      </c>
      <c r="R8" s="13">
        <f t="shared" ca="1" si="21"/>
        <v>54.861149019607844</v>
      </c>
      <c r="S8" s="1366">
        <f t="shared" ca="1" si="21"/>
        <v>99.889249019607846</v>
      </c>
      <c r="U8" s="13" t="str">
        <f t="shared" ca="1" si="0"/>
        <v/>
      </c>
      <c r="V8" s="13" t="str">
        <f t="shared" si="1"/>
        <v/>
      </c>
      <c r="W8" s="13" t="str">
        <f t="shared" ca="1" si="16"/>
        <v/>
      </c>
      <c r="Y8" s="13" t="str">
        <f t="shared" ca="1" si="2"/>
        <v/>
      </c>
      <c r="Z8" s="13" t="str">
        <f t="shared" ca="1" si="3"/>
        <v/>
      </c>
      <c r="AA8" s="13" t="str">
        <f t="shared" ca="1" si="17"/>
        <v/>
      </c>
    </row>
    <row r="9" spans="1:27" x14ac:dyDescent="0.25">
      <c r="A9" s="1363">
        <v>0.05</v>
      </c>
      <c r="B9" s="13">
        <f t="shared" si="4"/>
        <v>1.9E-2</v>
      </c>
      <c r="C9" s="1364">
        <f t="shared" si="5"/>
        <v>29.6</v>
      </c>
      <c r="D9" s="1364">
        <f ca="1">B9*'Ввод исходных данных'!$G$285+C9+IF('Ввод исходных данных'!$D$159=0,7,10)</f>
        <v>137.22200000000001</v>
      </c>
      <c r="E9" s="1431" t="str">
        <f t="shared" ca="1" si="6"/>
        <v/>
      </c>
      <c r="F9" s="1364" t="str">
        <f t="shared" ca="1" si="7"/>
        <v/>
      </c>
      <c r="G9" s="1364">
        <f t="shared" ca="1" si="8"/>
        <v>137.22200000000001</v>
      </c>
      <c r="H9" s="1364" t="str">
        <f t="shared" ca="1" si="9"/>
        <v/>
      </c>
      <c r="I9" s="1364" t="str">
        <f t="shared" ca="1" si="10"/>
        <v/>
      </c>
      <c r="J9" s="1364" t="str">
        <f t="shared" ca="1" si="11"/>
        <v/>
      </c>
      <c r="K9" s="1364" t="str">
        <f t="shared" ca="1" si="12"/>
        <v/>
      </c>
      <c r="L9" s="1364" t="str">
        <f t="shared" ca="1" si="13"/>
        <v/>
      </c>
      <c r="M9" s="1364" t="str">
        <f t="shared" ca="1" si="14"/>
        <v/>
      </c>
      <c r="N9" s="13">
        <f t="shared" ca="1" si="18"/>
        <v>1.9963069287660569E-2</v>
      </c>
      <c r="O9" s="13">
        <f t="shared" ca="1" si="19"/>
        <v>137.15287254901961</v>
      </c>
      <c r="P9" s="1366">
        <f t="shared" ca="1" si="19"/>
        <v>249.72312254901959</v>
      </c>
      <c r="Q9" s="13">
        <f t="shared" ca="1" si="20"/>
        <v>7.9852277150642276E-3</v>
      </c>
      <c r="R9" s="13">
        <f t="shared" ca="1" si="21"/>
        <v>54.861149019607844</v>
      </c>
      <c r="S9" s="1366">
        <f t="shared" ca="1" si="21"/>
        <v>99.889249019607846</v>
      </c>
      <c r="U9" s="13" t="str">
        <f t="shared" ca="1" si="0"/>
        <v/>
      </c>
      <c r="V9" s="13" t="str">
        <f t="shared" si="1"/>
        <v/>
      </c>
      <c r="W9" s="13" t="str">
        <f t="shared" ca="1" si="16"/>
        <v/>
      </c>
      <c r="Y9" s="13" t="str">
        <f t="shared" ca="1" si="2"/>
        <v/>
      </c>
      <c r="Z9" s="13" t="str">
        <f t="shared" ca="1" si="3"/>
        <v/>
      </c>
      <c r="AA9" s="13" t="str">
        <f t="shared" ca="1" si="17"/>
        <v/>
      </c>
    </row>
    <row r="10" spans="1:27" x14ac:dyDescent="0.25">
      <c r="A10" s="1363">
        <v>0.06</v>
      </c>
      <c r="B10" s="13">
        <f t="shared" si="4"/>
        <v>2.1000000000000001E-2</v>
      </c>
      <c r="C10" s="1364">
        <f t="shared" si="5"/>
        <v>34.5</v>
      </c>
      <c r="D10" s="1364">
        <f ca="1">B10*'Ввод исходных данных'!$G$285+C10+IF('Ввод исходных данных'!$D$159=0,7,10)</f>
        <v>152.39800000000002</v>
      </c>
      <c r="E10" s="1431" t="str">
        <f t="shared" ca="1" si="6"/>
        <v/>
      </c>
      <c r="F10" s="1364" t="str">
        <f t="shared" ca="1" si="7"/>
        <v/>
      </c>
      <c r="G10" s="1364" t="str">
        <f t="shared" ca="1" si="8"/>
        <v/>
      </c>
      <c r="H10" s="1364">
        <f t="shared" ca="1" si="9"/>
        <v>152.39800000000002</v>
      </c>
      <c r="I10" s="1364" t="str">
        <f t="shared" ca="1" si="10"/>
        <v/>
      </c>
      <c r="J10" s="1364" t="str">
        <f t="shared" ca="1" si="11"/>
        <v/>
      </c>
      <c r="K10" s="1364" t="str">
        <f t="shared" ca="1" si="12"/>
        <v/>
      </c>
      <c r="L10" s="1364" t="str">
        <f t="shared" ca="1" si="13"/>
        <v/>
      </c>
      <c r="M10" s="1364" t="str">
        <f t="shared" ca="1" si="14"/>
        <v/>
      </c>
      <c r="N10" s="13">
        <f t="shared" ca="1" si="18"/>
        <v>1.9963069287660569E-2</v>
      </c>
      <c r="O10" s="13">
        <f t="shared" ca="1" si="19"/>
        <v>137.15287254901961</v>
      </c>
      <c r="P10" s="1366">
        <f t="shared" ca="1" si="19"/>
        <v>249.72312254901959</v>
      </c>
      <c r="Q10" s="13">
        <f t="shared" ca="1" si="20"/>
        <v>7.9852277150642276E-3</v>
      </c>
      <c r="R10" s="13">
        <f t="shared" ca="1" si="21"/>
        <v>54.861149019607844</v>
      </c>
      <c r="S10" s="1366">
        <f t="shared" ca="1" si="21"/>
        <v>99.889249019607846</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3">
        <v>7.0000000000000007E-2</v>
      </c>
      <c r="B11" s="13">
        <f t="shared" si="4"/>
        <v>2.1999999999999999E-2</v>
      </c>
      <c r="C11" s="1364">
        <f t="shared" si="5"/>
        <v>34.5</v>
      </c>
      <c r="D11" s="1364">
        <f ca="1">B11*'Ввод исходных данных'!$G$285+C11+IF('Ввод исходных данных'!$D$159=0,7,10)</f>
        <v>157.536</v>
      </c>
      <c r="E11" s="1431" t="str">
        <f t="shared" ca="1" si="6"/>
        <v/>
      </c>
      <c r="F11" s="1364" t="str">
        <f t="shared" ca="1" si="7"/>
        <v/>
      </c>
      <c r="G11" s="1364" t="str">
        <f t="shared" ca="1" si="8"/>
        <v/>
      </c>
      <c r="H11" s="1364">
        <f t="shared" ca="1" si="9"/>
        <v>157.536</v>
      </c>
      <c r="I11" s="1364" t="str">
        <f t="shared" ca="1" si="10"/>
        <v/>
      </c>
      <c r="J11" s="1364" t="str">
        <f t="shared" ca="1" si="11"/>
        <v/>
      </c>
      <c r="K11" s="1364" t="str">
        <f t="shared" ca="1" si="12"/>
        <v/>
      </c>
      <c r="L11" s="1364" t="str">
        <f t="shared" ca="1" si="13"/>
        <v/>
      </c>
      <c r="M11" s="1364" t="str">
        <f t="shared" ca="1" si="14"/>
        <v/>
      </c>
      <c r="N11" s="13">
        <f t="shared" ca="1" si="18"/>
        <v>1.9963069287660569E-2</v>
      </c>
      <c r="O11" s="13">
        <f t="shared" ca="1" si="19"/>
        <v>137.15287254901961</v>
      </c>
      <c r="P11" s="1366">
        <f t="shared" ca="1" si="19"/>
        <v>249.72312254901959</v>
      </c>
      <c r="Q11" s="13">
        <f t="shared" ca="1" si="20"/>
        <v>7.9852277150642276E-3</v>
      </c>
      <c r="R11" s="13">
        <f t="shared" ca="1" si="21"/>
        <v>54.861149019607844</v>
      </c>
      <c r="S11" s="1366">
        <f t="shared" ca="1" si="21"/>
        <v>99.889249019607846</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3">
        <v>0.08</v>
      </c>
      <c r="B12" s="13">
        <f t="shared" si="4"/>
        <v>2.1999999999999999E-2</v>
      </c>
      <c r="C12" s="1364">
        <f t="shared" si="5"/>
        <v>34.5</v>
      </c>
      <c r="D12" s="1364">
        <f ca="1">B12*'Ввод исходных данных'!$G$285+C12+IF('Ввод исходных данных'!$D$159=0,7,10)</f>
        <v>157.536</v>
      </c>
      <c r="E12" s="1431" t="str">
        <f t="shared" ca="1" si="6"/>
        <v/>
      </c>
      <c r="F12" s="1364" t="str">
        <f t="shared" ca="1" si="7"/>
        <v/>
      </c>
      <c r="G12" s="1364" t="str">
        <f t="shared" ca="1" si="8"/>
        <v/>
      </c>
      <c r="H12" s="1364">
        <f t="shared" ca="1" si="9"/>
        <v>157.536</v>
      </c>
      <c r="I12" s="1364" t="str">
        <f t="shared" ca="1" si="10"/>
        <v/>
      </c>
      <c r="J12" s="1364" t="str">
        <f t="shared" ca="1" si="11"/>
        <v/>
      </c>
      <c r="K12" s="1364" t="str">
        <f t="shared" ca="1" si="12"/>
        <v/>
      </c>
      <c r="L12" s="1364" t="str">
        <f t="shared" ca="1" si="13"/>
        <v/>
      </c>
      <c r="M12" s="1364" t="str">
        <f t="shared" ca="1" si="14"/>
        <v/>
      </c>
      <c r="N12" s="13">
        <f t="shared" ca="1" si="18"/>
        <v>1.9963069287660569E-2</v>
      </c>
      <c r="O12" s="13">
        <f t="shared" ca="1" si="19"/>
        <v>137.15287254901961</v>
      </c>
      <c r="P12" s="1366">
        <f t="shared" ca="1" si="19"/>
        <v>249.72312254901959</v>
      </c>
      <c r="Q12" s="13">
        <f t="shared" ca="1" si="20"/>
        <v>7.9852277150642276E-3</v>
      </c>
      <c r="R12" s="13">
        <f t="shared" ca="1" si="21"/>
        <v>54.861149019607844</v>
      </c>
      <c r="S12" s="1366">
        <f t="shared" ca="1" si="21"/>
        <v>99.889249019607846</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3">
        <v>0.09</v>
      </c>
      <c r="B13" s="13">
        <f t="shared" si="4"/>
        <v>2.5999999999999999E-2</v>
      </c>
      <c r="C13" s="1364">
        <f t="shared" si="5"/>
        <v>37.1</v>
      </c>
      <c r="D13" s="1364">
        <f ca="1">B13*'Ввод исходных данных'!$G$285+C13+IF('Ввод исходных данных'!$D$159=0,7,10)</f>
        <v>180.68799999999999</v>
      </c>
      <c r="E13" s="1431" t="str">
        <f t="shared" ca="1" si="6"/>
        <v/>
      </c>
      <c r="F13" s="1364" t="str">
        <f t="shared" ca="1" si="7"/>
        <v/>
      </c>
      <c r="G13" s="1364" t="str">
        <f t="shared" ca="1" si="8"/>
        <v/>
      </c>
      <c r="H13" s="1364" t="str">
        <f t="shared" ca="1" si="9"/>
        <v/>
      </c>
      <c r="I13" s="1364">
        <f t="shared" ca="1" si="10"/>
        <v>180.68799999999999</v>
      </c>
      <c r="J13" s="1364" t="str">
        <f t="shared" ca="1" si="11"/>
        <v/>
      </c>
      <c r="K13" s="1364" t="str">
        <f t="shared" ca="1" si="12"/>
        <v/>
      </c>
      <c r="L13" s="1364" t="str">
        <f t="shared" ca="1" si="13"/>
        <v/>
      </c>
      <c r="M13" s="1364" t="str">
        <f t="shared" ca="1" si="14"/>
        <v/>
      </c>
      <c r="N13" s="13">
        <f t="shared" ca="1" si="18"/>
        <v>1.9963069287660569E-2</v>
      </c>
      <c r="O13" s="13">
        <f t="shared" ca="1" si="19"/>
        <v>137.15287254901961</v>
      </c>
      <c r="P13" s="1366">
        <f t="shared" ca="1" si="19"/>
        <v>249.72312254901959</v>
      </c>
      <c r="Q13" s="13">
        <f t="shared" ca="1" si="20"/>
        <v>7.9852277150642276E-3</v>
      </c>
      <c r="R13" s="13">
        <f t="shared" ca="1" si="21"/>
        <v>54.861149019607844</v>
      </c>
      <c r="S13" s="1366">
        <f t="shared" ca="1" si="21"/>
        <v>99.889249019607846</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3">
        <v>0.1</v>
      </c>
      <c r="B14" s="13">
        <f t="shared" si="4"/>
        <v>2.5999999999999999E-2</v>
      </c>
      <c r="C14" s="1364">
        <f t="shared" si="5"/>
        <v>37.1</v>
      </c>
      <c r="D14" s="1364">
        <f ca="1">B14*'Ввод исходных данных'!$G$285+C14+IF('Ввод исходных данных'!$D$159=0,7,10)</f>
        <v>180.68799999999999</v>
      </c>
      <c r="E14" s="1431" t="str">
        <f t="shared" ca="1" si="6"/>
        <v/>
      </c>
      <c r="F14" s="1364" t="str">
        <f t="shared" ca="1" si="7"/>
        <v/>
      </c>
      <c r="G14" s="1364" t="str">
        <f t="shared" ca="1" si="8"/>
        <v/>
      </c>
      <c r="H14" s="1364" t="str">
        <f t="shared" ca="1" si="9"/>
        <v/>
      </c>
      <c r="I14" s="1364">
        <f t="shared" ca="1" si="10"/>
        <v>180.68799999999999</v>
      </c>
      <c r="J14" s="1364" t="str">
        <f t="shared" ca="1" si="11"/>
        <v/>
      </c>
      <c r="K14" s="1364" t="str">
        <f t="shared" ca="1" si="12"/>
        <v/>
      </c>
      <c r="L14" s="1364" t="str">
        <f t="shared" ca="1" si="13"/>
        <v/>
      </c>
      <c r="M14" s="1364" t="str">
        <f t="shared" ca="1" si="14"/>
        <v/>
      </c>
      <c r="N14" s="13">
        <f t="shared" ca="1" si="18"/>
        <v>1.9963069287660569E-2</v>
      </c>
      <c r="O14" s="13">
        <f t="shared" ca="1" si="19"/>
        <v>137.15287254901961</v>
      </c>
      <c r="P14" s="1366">
        <f t="shared" ca="1" si="19"/>
        <v>249.72312254901959</v>
      </c>
      <c r="Q14" s="13">
        <f t="shared" ca="1" si="20"/>
        <v>7.9852277150642276E-3</v>
      </c>
      <c r="R14" s="13">
        <f t="shared" ca="1" si="21"/>
        <v>54.861149019607844</v>
      </c>
      <c r="S14" s="1366">
        <f t="shared" ca="1" si="21"/>
        <v>99.889249019607846</v>
      </c>
      <c r="U14" s="13" t="str">
        <f t="shared" ca="1" si="0"/>
        <v/>
      </c>
      <c r="V14" s="13" t="str">
        <f t="shared" si="1"/>
        <v/>
      </c>
      <c r="W14" s="13" t="str">
        <f t="shared" ca="1" si="16"/>
        <v/>
      </c>
      <c r="Y14" s="13" t="str">
        <f t="shared" ca="1" si="2"/>
        <v/>
      </c>
      <c r="Z14" s="13" t="str">
        <f t="shared" ca="1" si="3"/>
        <v/>
      </c>
      <c r="AA14" s="13" t="str">
        <f t="shared" ca="1" si="17"/>
        <v/>
      </c>
    </row>
    <row r="15" spans="1:27" x14ac:dyDescent="0.25">
      <c r="A15" s="1363">
        <v>0.11</v>
      </c>
      <c r="B15" s="13">
        <f t="shared" si="4"/>
        <v>2.8000000000000001E-2</v>
      </c>
      <c r="C15" s="1364">
        <f t="shared" si="5"/>
        <v>40.700000000000003</v>
      </c>
      <c r="D15" s="1364">
        <f ca="1">B15*'Ввод исходных данных'!$G$285+C15+IF('Ввод исходных данных'!$D$159=0,7,10)</f>
        <v>194.56400000000002</v>
      </c>
      <c r="E15" s="1431" t="str">
        <f t="shared" ca="1" si="6"/>
        <v/>
      </c>
      <c r="F15" s="1364" t="str">
        <f t="shared" ca="1" si="7"/>
        <v/>
      </c>
      <c r="G15" s="1364" t="str">
        <f t="shared" ca="1" si="8"/>
        <v/>
      </c>
      <c r="H15" s="1364" t="str">
        <f t="shared" ca="1" si="9"/>
        <v/>
      </c>
      <c r="I15" s="1364">
        <f t="shared" ca="1" si="10"/>
        <v>194.56400000000002</v>
      </c>
      <c r="J15" s="1364" t="str">
        <f t="shared" ca="1" si="11"/>
        <v/>
      </c>
      <c r="K15" s="1364" t="str">
        <f t="shared" ca="1" si="12"/>
        <v/>
      </c>
      <c r="L15" s="1364" t="str">
        <f t="shared" ca="1" si="13"/>
        <v/>
      </c>
      <c r="M15" s="1364" t="str">
        <f t="shared" ca="1" si="14"/>
        <v/>
      </c>
      <c r="N15" s="13">
        <f t="shared" ca="1" si="18"/>
        <v>1.9963069287660569E-2</v>
      </c>
      <c r="O15" s="13">
        <f t="shared" ca="1" si="19"/>
        <v>137.15287254901961</v>
      </c>
      <c r="P15" s="1366">
        <f t="shared" ca="1" si="19"/>
        <v>249.72312254901959</v>
      </c>
      <c r="Q15" s="13">
        <f t="shared" ca="1" si="20"/>
        <v>7.9852277150642276E-3</v>
      </c>
      <c r="R15" s="13">
        <f t="shared" ca="1" si="21"/>
        <v>54.861149019607844</v>
      </c>
      <c r="S15" s="1366">
        <f t="shared" ca="1" si="21"/>
        <v>99.889249019607846</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3">
        <v>0.12</v>
      </c>
      <c r="B16" s="13">
        <f t="shared" si="4"/>
        <v>2.8000000000000001E-2</v>
      </c>
      <c r="C16" s="1364">
        <f t="shared" si="5"/>
        <v>40.700000000000003</v>
      </c>
      <c r="D16" s="1364">
        <f ca="1">B16*'Ввод исходных данных'!$G$285+C16+IF('Ввод исходных данных'!$D$159=0,7,10)</f>
        <v>194.56400000000002</v>
      </c>
      <c r="E16" s="1431" t="str">
        <f t="shared" ca="1" si="6"/>
        <v/>
      </c>
      <c r="F16" s="1364" t="str">
        <f t="shared" ca="1" si="7"/>
        <v/>
      </c>
      <c r="G16" s="1364" t="str">
        <f t="shared" ca="1" si="8"/>
        <v/>
      </c>
      <c r="H16" s="1364" t="str">
        <f t="shared" ca="1" si="9"/>
        <v/>
      </c>
      <c r="I16" s="1364">
        <f t="shared" ca="1" si="10"/>
        <v>194.56400000000002</v>
      </c>
      <c r="J16" s="1364" t="str">
        <f t="shared" ca="1" si="11"/>
        <v/>
      </c>
      <c r="K16" s="1364" t="str">
        <f t="shared" ca="1" si="12"/>
        <v/>
      </c>
      <c r="L16" s="1364" t="str">
        <f t="shared" ca="1" si="13"/>
        <v/>
      </c>
      <c r="M16" s="1364" t="str">
        <f t="shared" ca="1" si="14"/>
        <v/>
      </c>
      <c r="N16" s="13">
        <f t="shared" ca="1" si="18"/>
        <v>1.9963069287660569E-2</v>
      </c>
      <c r="O16" s="13">
        <f t="shared" ca="1" si="19"/>
        <v>137.15287254901961</v>
      </c>
      <c r="P16" s="1366">
        <f t="shared" ca="1" si="19"/>
        <v>249.72312254901959</v>
      </c>
      <c r="Q16" s="13">
        <f t="shared" ca="1" si="20"/>
        <v>7.9852277150642276E-3</v>
      </c>
      <c r="R16" s="13">
        <f t="shared" ca="1" si="21"/>
        <v>54.861149019607844</v>
      </c>
      <c r="S16" s="1366">
        <f t="shared" ca="1" si="21"/>
        <v>99.889249019607846</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3">
        <v>0.13</v>
      </c>
      <c r="B17" s="13">
        <f t="shared" si="4"/>
        <v>2.9000000000000001E-2</v>
      </c>
      <c r="C17" s="1364">
        <f t="shared" si="5"/>
        <v>43.8</v>
      </c>
      <c r="D17" s="1364">
        <f ca="1">B17*'Ввод исходных данных'!$G$285+C17+IF('Ввод исходных данных'!$D$159=0,7,10)</f>
        <v>202.80200000000002</v>
      </c>
      <c r="E17" s="1431" t="str">
        <f t="shared" ca="1" si="6"/>
        <v/>
      </c>
      <c r="F17" s="1364" t="str">
        <f t="shared" ca="1" si="7"/>
        <v/>
      </c>
      <c r="G17" s="1364" t="str">
        <f t="shared" ca="1" si="8"/>
        <v/>
      </c>
      <c r="H17" s="1364" t="str">
        <f t="shared" ca="1" si="9"/>
        <v/>
      </c>
      <c r="I17" s="1364">
        <f t="shared" ca="1" si="10"/>
        <v>202.80200000000002</v>
      </c>
      <c r="J17" s="1364" t="str">
        <f t="shared" ca="1" si="11"/>
        <v/>
      </c>
      <c r="K17" s="1364" t="str">
        <f t="shared" ca="1" si="12"/>
        <v/>
      </c>
      <c r="L17" s="1364" t="str">
        <f t="shared" ca="1" si="13"/>
        <v/>
      </c>
      <c r="M17" s="1364" t="str">
        <f t="shared" ca="1" si="14"/>
        <v/>
      </c>
      <c r="N17" s="13">
        <f t="shared" ca="1" si="18"/>
        <v>1.9963069287660569E-2</v>
      </c>
      <c r="O17" s="13">
        <f t="shared" ca="1" si="19"/>
        <v>137.15287254901961</v>
      </c>
      <c r="P17" s="1366">
        <f t="shared" ca="1" si="19"/>
        <v>249.72312254901959</v>
      </c>
      <c r="Q17" s="13">
        <f t="shared" ca="1" si="20"/>
        <v>7.9852277150642276E-3</v>
      </c>
      <c r="R17" s="13">
        <f t="shared" ca="1" si="21"/>
        <v>54.861149019607844</v>
      </c>
      <c r="S17" s="1366">
        <f t="shared" ca="1" si="21"/>
        <v>99.889249019607846</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3">
        <v>0.14000000000000001</v>
      </c>
      <c r="B18" s="13">
        <f t="shared" si="4"/>
        <v>2.9000000000000001E-2</v>
      </c>
      <c r="C18" s="1364">
        <f t="shared" si="5"/>
        <v>43.8</v>
      </c>
      <c r="D18" s="1364">
        <f ca="1">B18*'Ввод исходных данных'!$G$285+C18+IF('Ввод исходных данных'!$D$159=0,7,10)</f>
        <v>202.80200000000002</v>
      </c>
      <c r="E18" s="1431" t="str">
        <f t="shared" ca="1" si="6"/>
        <v/>
      </c>
      <c r="F18" s="1364" t="str">
        <f t="shared" ca="1" si="7"/>
        <v/>
      </c>
      <c r="G18" s="1364" t="str">
        <f t="shared" ca="1" si="8"/>
        <v/>
      </c>
      <c r="H18" s="1364" t="str">
        <f t="shared" ca="1" si="9"/>
        <v/>
      </c>
      <c r="I18" s="1364">
        <f t="shared" ca="1" si="10"/>
        <v>202.80200000000002</v>
      </c>
      <c r="J18" s="1364" t="str">
        <f t="shared" ca="1" si="11"/>
        <v/>
      </c>
      <c r="K18" s="1364" t="str">
        <f t="shared" ca="1" si="12"/>
        <v/>
      </c>
      <c r="L18" s="1364" t="str">
        <f t="shared" ca="1" si="13"/>
        <v/>
      </c>
      <c r="M18" s="1364" t="str">
        <f t="shared" ca="1" si="14"/>
        <v/>
      </c>
      <c r="N18" s="13">
        <f t="shared" ca="1" si="18"/>
        <v>1.9963069287660569E-2</v>
      </c>
      <c r="O18" s="13">
        <f t="shared" ca="1" si="19"/>
        <v>137.15287254901961</v>
      </c>
      <c r="P18" s="1366">
        <f t="shared" ca="1" si="19"/>
        <v>249.72312254901959</v>
      </c>
      <c r="Q18" s="13">
        <f t="shared" ca="1" si="20"/>
        <v>7.9852277150642276E-3</v>
      </c>
      <c r="R18" s="13">
        <f t="shared" ca="1" si="21"/>
        <v>54.861149019607844</v>
      </c>
      <c r="S18" s="1366">
        <f t="shared" ca="1" si="21"/>
        <v>99.889249019607846</v>
      </c>
      <c r="U18" s="13" t="str">
        <f t="shared" ca="1" si="0"/>
        <v/>
      </c>
      <c r="V18" s="13" t="str">
        <f t="shared" si="1"/>
        <v/>
      </c>
      <c r="W18" s="13" t="str">
        <f t="shared" ca="1" si="16"/>
        <v/>
      </c>
      <c r="Y18" s="13" t="str">
        <f t="shared" ca="1" si="2"/>
        <v/>
      </c>
      <c r="Z18" s="13" t="str">
        <f t="shared" ca="1" si="3"/>
        <v/>
      </c>
      <c r="AA18" s="13" t="str">
        <f t="shared" ca="1" si="17"/>
        <v/>
      </c>
    </row>
    <row r="19" spans="1:27" x14ac:dyDescent="0.25">
      <c r="A19" s="1363">
        <v>0.15</v>
      </c>
      <c r="B19" s="13">
        <f t="shared" si="4"/>
        <v>3.1E-2</v>
      </c>
      <c r="C19" s="1364">
        <f t="shared" si="5"/>
        <v>45.6</v>
      </c>
      <c r="D19" s="1364">
        <f ca="1">B19*'Ввод исходных данных'!$G$285+C19+IF('Ввод исходных данных'!$D$159=0,7,10)</f>
        <v>214.87799999999999</v>
      </c>
      <c r="E19" s="1431" t="str">
        <f t="shared" ca="1" si="6"/>
        <v/>
      </c>
      <c r="F19" s="1364" t="str">
        <f t="shared" ca="1" si="7"/>
        <v/>
      </c>
      <c r="G19" s="1364" t="str">
        <f t="shared" ca="1" si="8"/>
        <v/>
      </c>
      <c r="H19" s="1364" t="str">
        <f t="shared" ca="1" si="9"/>
        <v/>
      </c>
      <c r="I19" s="1364" t="str">
        <f t="shared" ca="1" si="10"/>
        <v/>
      </c>
      <c r="J19" s="1364">
        <f t="shared" ca="1" si="11"/>
        <v>214.87799999999999</v>
      </c>
      <c r="K19" s="1364" t="str">
        <f t="shared" ca="1" si="12"/>
        <v/>
      </c>
      <c r="L19" s="1364" t="str">
        <f t="shared" ca="1" si="13"/>
        <v/>
      </c>
      <c r="M19" s="1364" t="str">
        <f t="shared" ca="1" si="14"/>
        <v/>
      </c>
      <c r="N19" s="13">
        <f t="shared" ca="1" si="18"/>
        <v>1.9963069287660569E-2</v>
      </c>
      <c r="O19" s="13">
        <f t="shared" ca="1" si="19"/>
        <v>137.15287254901961</v>
      </c>
      <c r="P19" s="1366">
        <f t="shared" ca="1" si="19"/>
        <v>249.72312254901959</v>
      </c>
      <c r="Q19" s="13">
        <f t="shared" ca="1" si="20"/>
        <v>7.9852277150642276E-3</v>
      </c>
      <c r="R19" s="13">
        <f t="shared" ca="1" si="21"/>
        <v>54.861149019607844</v>
      </c>
      <c r="S19" s="1366">
        <f t="shared" ca="1" si="21"/>
        <v>99.889249019607846</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3">
        <v>0.16</v>
      </c>
      <c r="B20" s="13">
        <f t="shared" si="4"/>
        <v>3.1E-2</v>
      </c>
      <c r="C20" s="1364">
        <f t="shared" si="5"/>
        <v>45.6</v>
      </c>
      <c r="D20" s="1364">
        <f ca="1">B20*'Ввод исходных данных'!$G$285+C20+IF('Ввод исходных данных'!$D$159=0,7,10)</f>
        <v>214.87799999999999</v>
      </c>
      <c r="E20" s="1431" t="str">
        <f t="shared" ca="1" si="6"/>
        <v/>
      </c>
      <c r="F20" s="1364" t="str">
        <f t="shared" ca="1" si="7"/>
        <v/>
      </c>
      <c r="G20" s="1364" t="str">
        <f t="shared" ca="1" si="8"/>
        <v/>
      </c>
      <c r="H20" s="1364" t="str">
        <f t="shared" ca="1" si="9"/>
        <v/>
      </c>
      <c r="I20" s="1364" t="str">
        <f t="shared" ca="1" si="10"/>
        <v/>
      </c>
      <c r="J20" s="1364">
        <f t="shared" ca="1" si="11"/>
        <v>214.87799999999999</v>
      </c>
      <c r="K20" s="1364" t="str">
        <f t="shared" ca="1" si="12"/>
        <v/>
      </c>
      <c r="L20" s="1364" t="str">
        <f t="shared" ca="1" si="13"/>
        <v/>
      </c>
      <c r="M20" s="1364" t="str">
        <f t="shared" ca="1" si="14"/>
        <v/>
      </c>
      <c r="N20" s="13">
        <f t="shared" ca="1" si="18"/>
        <v>1.9963069287660569E-2</v>
      </c>
      <c r="O20" s="13">
        <f t="shared" ca="1" si="19"/>
        <v>137.15287254901961</v>
      </c>
      <c r="P20" s="1366">
        <f t="shared" ca="1" si="19"/>
        <v>249.72312254901959</v>
      </c>
      <c r="Q20" s="13">
        <f t="shared" ca="1" si="20"/>
        <v>7.9852277150642276E-3</v>
      </c>
      <c r="R20" s="13">
        <f t="shared" ca="1" si="21"/>
        <v>54.861149019607844</v>
      </c>
      <c r="S20" s="1366">
        <f t="shared" ca="1" si="21"/>
        <v>99.889249019607846</v>
      </c>
      <c r="U20" s="13" t="str">
        <f t="shared" ca="1" si="0"/>
        <v/>
      </c>
      <c r="V20" s="13" t="str">
        <f t="shared" si="1"/>
        <v/>
      </c>
      <c r="W20" s="13" t="str">
        <f t="shared" ca="1" si="16"/>
        <v/>
      </c>
      <c r="Y20" s="13" t="str">
        <f t="shared" ca="1" si="2"/>
        <v/>
      </c>
      <c r="Z20" s="13" t="str">
        <f t="shared" ca="1" si="3"/>
        <v/>
      </c>
      <c r="AA20" s="13" t="str">
        <f t="shared" ca="1" si="17"/>
        <v/>
      </c>
    </row>
    <row r="21" spans="1:27" x14ac:dyDescent="0.25">
      <c r="A21" s="1363">
        <v>0.17</v>
      </c>
      <c r="B21" s="13">
        <f t="shared" si="4"/>
        <v>3.2000000000000001E-2</v>
      </c>
      <c r="C21" s="1364">
        <f t="shared" si="5"/>
        <v>47.4</v>
      </c>
      <c r="D21" s="1364">
        <f ca="1">B21*'Ввод исходных данных'!$G$285+C21+IF('Ввод исходных данных'!$D$159=0,7,10)</f>
        <v>221.816</v>
      </c>
      <c r="E21" s="1431" t="str">
        <f t="shared" ca="1" si="6"/>
        <v/>
      </c>
      <c r="F21" s="1364" t="str">
        <f t="shared" ca="1" si="7"/>
        <v/>
      </c>
      <c r="G21" s="1364" t="str">
        <f t="shared" ca="1" si="8"/>
        <v/>
      </c>
      <c r="H21" s="1364" t="str">
        <f t="shared" ca="1" si="9"/>
        <v/>
      </c>
      <c r="I21" s="1364" t="str">
        <f t="shared" ca="1" si="10"/>
        <v/>
      </c>
      <c r="J21" s="1364">
        <f t="shared" ca="1" si="11"/>
        <v>221.816</v>
      </c>
      <c r="K21" s="1364" t="str">
        <f t="shared" ca="1" si="12"/>
        <v/>
      </c>
      <c r="L21" s="1364" t="str">
        <f t="shared" ca="1" si="13"/>
        <v/>
      </c>
      <c r="M21" s="1364" t="str">
        <f t="shared" ca="1" si="14"/>
        <v/>
      </c>
      <c r="N21" s="13">
        <f t="shared" ca="1" si="18"/>
        <v>1.9963069287660569E-2</v>
      </c>
      <c r="O21" s="13">
        <f t="shared" ca="1" si="19"/>
        <v>137.15287254901961</v>
      </c>
      <c r="P21" s="1366">
        <f t="shared" ca="1" si="19"/>
        <v>249.72312254901959</v>
      </c>
      <c r="Q21" s="13">
        <f t="shared" ca="1" si="20"/>
        <v>7.9852277150642276E-3</v>
      </c>
      <c r="R21" s="13">
        <f t="shared" ca="1" si="21"/>
        <v>54.861149019607844</v>
      </c>
      <c r="S21" s="1366">
        <f t="shared" ca="1" si="21"/>
        <v>99.889249019607846</v>
      </c>
      <c r="U21" s="13" t="str">
        <f t="shared" ca="1" si="0"/>
        <v/>
      </c>
      <c r="V21" s="13" t="str">
        <f t="shared" si="1"/>
        <v/>
      </c>
      <c r="W21" s="13" t="str">
        <f t="shared" ca="1" si="16"/>
        <v/>
      </c>
      <c r="Y21" s="13" t="str">
        <f t="shared" ca="1" si="2"/>
        <v/>
      </c>
      <c r="Z21" s="13" t="str">
        <f t="shared" ca="1" si="3"/>
        <v/>
      </c>
      <c r="AA21" s="13" t="str">
        <f t="shared" ca="1" si="17"/>
        <v/>
      </c>
    </row>
    <row r="22" spans="1:27" x14ac:dyDescent="0.25">
      <c r="A22" s="1363">
        <v>0.18</v>
      </c>
      <c r="B22" s="13">
        <f t="shared" si="4"/>
        <v>3.2000000000000001E-2</v>
      </c>
      <c r="C22" s="1364">
        <f t="shared" si="5"/>
        <v>47.4</v>
      </c>
      <c r="D22" s="1364">
        <f ca="1">B22*'Ввод исходных данных'!$G$285+C22+IF('Ввод исходных данных'!$D$159=0,7,10)</f>
        <v>221.816</v>
      </c>
      <c r="E22" s="1431" t="str">
        <f t="shared" ca="1" si="6"/>
        <v/>
      </c>
      <c r="F22" s="1364" t="str">
        <f t="shared" ca="1" si="7"/>
        <v/>
      </c>
      <c r="G22" s="1364" t="str">
        <f t="shared" ca="1" si="8"/>
        <v/>
      </c>
      <c r="H22" s="1364" t="str">
        <f t="shared" ca="1" si="9"/>
        <v/>
      </c>
      <c r="I22" s="1364" t="str">
        <f t="shared" ca="1" si="10"/>
        <v/>
      </c>
      <c r="J22" s="1364">
        <f t="shared" ca="1" si="11"/>
        <v>221.816</v>
      </c>
      <c r="K22" s="1364" t="str">
        <f t="shared" ca="1" si="12"/>
        <v/>
      </c>
      <c r="L22" s="1364" t="str">
        <f t="shared" ca="1" si="13"/>
        <v/>
      </c>
      <c r="M22" s="1364" t="str">
        <f t="shared" ca="1" si="14"/>
        <v/>
      </c>
      <c r="N22" s="13">
        <f t="shared" ca="1" si="18"/>
        <v>1.9963069287660569E-2</v>
      </c>
      <c r="O22" s="13">
        <f t="shared" ca="1" si="19"/>
        <v>137.15287254901961</v>
      </c>
      <c r="P22" s="1366">
        <f t="shared" ca="1" si="19"/>
        <v>249.72312254901959</v>
      </c>
      <c r="Q22" s="13">
        <f t="shared" ca="1" si="20"/>
        <v>7.9852277150642276E-3</v>
      </c>
      <c r="R22" s="13">
        <f t="shared" ca="1" si="21"/>
        <v>54.861149019607844</v>
      </c>
      <c r="S22" s="1366">
        <f t="shared" ca="1" si="21"/>
        <v>99.889249019607846</v>
      </c>
      <c r="U22" s="13" t="str">
        <f t="shared" ca="1" si="0"/>
        <v/>
      </c>
      <c r="V22" s="13" t="str">
        <f t="shared" si="1"/>
        <v/>
      </c>
      <c r="W22" s="13" t="str">
        <f t="shared" ca="1" si="16"/>
        <v/>
      </c>
      <c r="Y22" s="13">
        <f t="shared" ca="1" si="2"/>
        <v>3.2055732919976834E-2</v>
      </c>
      <c r="Z22" s="13" t="str">
        <f t="shared" ca="1" si="3"/>
        <v/>
      </c>
      <c r="AA22" s="13" t="str">
        <f t="shared" ca="1" si="17"/>
        <v/>
      </c>
    </row>
    <row r="23" spans="1:27" x14ac:dyDescent="0.25">
      <c r="A23" s="1363">
        <v>0.19</v>
      </c>
      <c r="B23" s="13">
        <f t="shared" si="4"/>
        <v>3.3000000000000002E-2</v>
      </c>
      <c r="C23" s="1364">
        <f t="shared" si="5"/>
        <v>49.4</v>
      </c>
      <c r="D23" s="1364">
        <f ca="1">B23*'Ввод исходных данных'!$G$285+C23+IF('Ввод исходных данных'!$D$159=0,7,10)</f>
        <v>228.95400000000001</v>
      </c>
      <c r="E23" s="1431" t="str">
        <f t="shared" ca="1" si="6"/>
        <v/>
      </c>
      <c r="F23" s="1364" t="str">
        <f t="shared" ca="1" si="7"/>
        <v/>
      </c>
      <c r="G23" s="1364" t="str">
        <f t="shared" ca="1" si="8"/>
        <v/>
      </c>
      <c r="H23" s="1364" t="str">
        <f t="shared" ca="1" si="9"/>
        <v/>
      </c>
      <c r="I23" s="1364" t="str">
        <f t="shared" ca="1" si="10"/>
        <v/>
      </c>
      <c r="J23" s="1364">
        <f t="shared" ca="1" si="11"/>
        <v>228.95400000000001</v>
      </c>
      <c r="K23" s="1364" t="str">
        <f t="shared" ca="1" si="12"/>
        <v/>
      </c>
      <c r="L23" s="1364" t="str">
        <f t="shared" ca="1" si="13"/>
        <v/>
      </c>
      <c r="M23" s="1364" t="str">
        <f t="shared" ca="1" si="14"/>
        <v/>
      </c>
      <c r="N23" s="13">
        <f t="shared" ca="1" si="18"/>
        <v>1.9963069287660569E-2</v>
      </c>
      <c r="O23" s="13">
        <f t="shared" ca="1" si="19"/>
        <v>137.15287254901961</v>
      </c>
      <c r="P23" s="1366">
        <f t="shared" ca="1" si="19"/>
        <v>249.72312254901959</v>
      </c>
      <c r="Q23" s="13">
        <f t="shared" ca="1" si="20"/>
        <v>7.9852277150642276E-3</v>
      </c>
      <c r="R23" s="13">
        <f t="shared" ca="1" si="21"/>
        <v>54.861149019607844</v>
      </c>
      <c r="S23" s="1366">
        <f t="shared" ca="1" si="21"/>
        <v>99.889249019607846</v>
      </c>
      <c r="U23" s="13" t="str">
        <f t="shared" ca="1" si="0"/>
        <v/>
      </c>
      <c r="V23" s="13" t="str">
        <f t="shared" si="1"/>
        <v/>
      </c>
      <c r="W23" s="13" t="str">
        <f t="shared" ca="1" si="16"/>
        <v/>
      </c>
      <c r="Y23" s="13" t="str">
        <f t="shared" ca="1" si="2"/>
        <v/>
      </c>
      <c r="Z23" s="13" t="str">
        <f t="shared" ca="1" si="3"/>
        <v/>
      </c>
      <c r="AA23" s="13" t="str">
        <f t="shared" ca="1" si="17"/>
        <v/>
      </c>
    </row>
    <row r="24" spans="1:27" x14ac:dyDescent="0.25">
      <c r="A24" s="1363">
        <v>0.2</v>
      </c>
      <c r="B24" s="13">
        <f t="shared" si="4"/>
        <v>3.3000000000000002E-2</v>
      </c>
      <c r="C24" s="1364">
        <f t="shared" si="5"/>
        <v>49.4</v>
      </c>
      <c r="D24" s="1364">
        <f ca="1">B24*'Ввод исходных данных'!$G$285+C24+IF('Ввод исходных данных'!$D$159=0,7,10)</f>
        <v>228.95400000000001</v>
      </c>
      <c r="E24" s="1431" t="str">
        <f t="shared" ca="1" si="6"/>
        <v/>
      </c>
      <c r="F24" s="1364" t="str">
        <f t="shared" ca="1" si="7"/>
        <v/>
      </c>
      <c r="G24" s="1364" t="str">
        <f t="shared" ca="1" si="8"/>
        <v/>
      </c>
      <c r="H24" s="1364" t="str">
        <f t="shared" ca="1" si="9"/>
        <v/>
      </c>
      <c r="I24" s="1364" t="str">
        <f t="shared" ca="1" si="10"/>
        <v/>
      </c>
      <c r="J24" s="1364">
        <f t="shared" ca="1" si="11"/>
        <v>228.95400000000001</v>
      </c>
      <c r="K24" s="1364" t="str">
        <f t="shared" ca="1" si="12"/>
        <v/>
      </c>
      <c r="L24" s="1364" t="str">
        <f t="shared" ca="1" si="13"/>
        <v/>
      </c>
      <c r="M24" s="1364" t="str">
        <f t="shared" ca="1" si="14"/>
        <v/>
      </c>
      <c r="N24" s="13">
        <f t="shared" ca="1" si="18"/>
        <v>1.9963069287660569E-2</v>
      </c>
      <c r="O24" s="13">
        <f t="shared" ca="1" si="19"/>
        <v>137.15287254901961</v>
      </c>
      <c r="P24" s="1366">
        <f t="shared" ca="1" si="19"/>
        <v>249.72312254901959</v>
      </c>
      <c r="Q24" s="13">
        <f t="shared" ca="1" si="20"/>
        <v>7.9852277150642276E-3</v>
      </c>
      <c r="R24" s="13">
        <f t="shared" ca="1" si="21"/>
        <v>54.861149019607844</v>
      </c>
      <c r="S24" s="1366">
        <f t="shared" ca="1" si="21"/>
        <v>99.889249019607846</v>
      </c>
      <c r="U24" s="13" t="str">
        <f t="shared" ca="1" si="0"/>
        <v/>
      </c>
      <c r="V24" s="13" t="str">
        <f t="shared" si="1"/>
        <v/>
      </c>
      <c r="W24" s="13" t="str">
        <f t="shared" ca="1" si="16"/>
        <v/>
      </c>
      <c r="Y24" s="13" t="str">
        <f t="shared" ca="1" si="2"/>
        <v/>
      </c>
      <c r="Z24" s="13" t="str">
        <f t="shared" ca="1" si="3"/>
        <v/>
      </c>
      <c r="AA24" s="13" t="str">
        <f t="shared" ca="1" si="17"/>
        <v/>
      </c>
    </row>
    <row r="25" spans="1:27" x14ac:dyDescent="0.25">
      <c r="A25" s="1363">
        <v>0.21</v>
      </c>
      <c r="B25" s="13">
        <f t="shared" si="4"/>
        <v>3.4000000000000002E-2</v>
      </c>
      <c r="C25" s="1364">
        <f t="shared" si="5"/>
        <v>51.7</v>
      </c>
      <c r="D25" s="1364">
        <f ca="1">B25*'Ввод исходных данных'!$G$285+C25+IF('Ввод исходных данных'!$D$159=0,7,10)</f>
        <v>236.392</v>
      </c>
      <c r="E25" s="1431" t="str">
        <f t="shared" ca="1" si="6"/>
        <v/>
      </c>
      <c r="F25" s="1364" t="str">
        <f t="shared" ca="1" si="7"/>
        <v/>
      </c>
      <c r="G25" s="1364" t="str">
        <f t="shared" ca="1" si="8"/>
        <v/>
      </c>
      <c r="H25" s="1364" t="str">
        <f t="shared" ca="1" si="9"/>
        <v/>
      </c>
      <c r="I25" s="1364" t="str">
        <f t="shared" ca="1" si="10"/>
        <v/>
      </c>
      <c r="J25" s="1364">
        <f t="shared" ca="1" si="11"/>
        <v>236.392</v>
      </c>
      <c r="K25" s="1364" t="str">
        <f t="shared" ca="1" si="12"/>
        <v/>
      </c>
      <c r="L25" s="1364" t="str">
        <f t="shared" ca="1" si="13"/>
        <v/>
      </c>
      <c r="M25" s="1364" t="str">
        <f t="shared" ca="1" si="14"/>
        <v/>
      </c>
      <c r="N25" s="13">
        <f t="shared" ca="1" si="18"/>
        <v>1.9963069287660569E-2</v>
      </c>
      <c r="O25" s="13">
        <f t="shared" ca="1" si="19"/>
        <v>137.15287254901961</v>
      </c>
      <c r="P25" s="1366">
        <f t="shared" ca="1" si="19"/>
        <v>249.72312254901959</v>
      </c>
      <c r="Q25" s="13">
        <f t="shared" ca="1" si="20"/>
        <v>7.9852277150642276E-3</v>
      </c>
      <c r="R25" s="13">
        <f t="shared" ca="1" si="21"/>
        <v>54.861149019607844</v>
      </c>
      <c r="S25" s="1366">
        <f t="shared" ca="1" si="21"/>
        <v>99.889249019607846</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3">
        <v>0.22</v>
      </c>
      <c r="B26" s="13">
        <f t="shared" si="4"/>
        <v>3.4000000000000002E-2</v>
      </c>
      <c r="C26" s="1364">
        <f t="shared" si="5"/>
        <v>51.7</v>
      </c>
      <c r="D26" s="1364">
        <f ca="1">B26*'Ввод исходных данных'!$G$285+C26+IF('Ввод исходных данных'!$D$159=0,7,10)</f>
        <v>236.392</v>
      </c>
      <c r="E26" s="1431" t="str">
        <f t="shared" ca="1" si="6"/>
        <v/>
      </c>
      <c r="F26" s="1364" t="str">
        <f t="shared" ca="1" si="7"/>
        <v/>
      </c>
      <c r="G26" s="1364" t="str">
        <f t="shared" ca="1" si="8"/>
        <v/>
      </c>
      <c r="H26" s="1364" t="str">
        <f t="shared" ca="1" si="9"/>
        <v/>
      </c>
      <c r="I26" s="1364" t="str">
        <f t="shared" ca="1" si="10"/>
        <v/>
      </c>
      <c r="J26" s="1364">
        <f t="shared" ca="1" si="11"/>
        <v>236.392</v>
      </c>
      <c r="K26" s="1364" t="str">
        <f t="shared" ca="1" si="12"/>
        <v/>
      </c>
      <c r="L26" s="1364" t="str">
        <f t="shared" ca="1" si="13"/>
        <v/>
      </c>
      <c r="M26" s="1364" t="str">
        <f t="shared" ca="1" si="14"/>
        <v/>
      </c>
      <c r="N26" s="13">
        <f t="shared" ca="1" si="18"/>
        <v>1.9963069287660569E-2</v>
      </c>
      <c r="O26" s="13">
        <f t="shared" ca="1" si="19"/>
        <v>137.15287254901961</v>
      </c>
      <c r="P26" s="1366">
        <f t="shared" ca="1" si="19"/>
        <v>249.72312254901959</v>
      </c>
      <c r="Q26" s="13">
        <f t="shared" ca="1" si="20"/>
        <v>7.9852277150642276E-3</v>
      </c>
      <c r="R26" s="13">
        <f t="shared" ca="1" si="21"/>
        <v>54.861149019607844</v>
      </c>
      <c r="S26" s="1366">
        <f t="shared" ca="1" si="21"/>
        <v>99.889249019607846</v>
      </c>
      <c r="U26" s="13" t="str">
        <f t="shared" ca="1" si="0"/>
        <v/>
      </c>
      <c r="V26" s="13" t="str">
        <f t="shared" si="1"/>
        <v/>
      </c>
      <c r="W26" s="13" t="str">
        <f t="shared" ca="1" si="16"/>
        <v/>
      </c>
      <c r="Y26" s="13" t="str">
        <f t="shared" ca="1" si="2"/>
        <v/>
      </c>
      <c r="Z26" s="13" t="str">
        <f t="shared" ca="1" si="3"/>
        <v/>
      </c>
      <c r="AA26" s="13" t="str">
        <f t="shared" ca="1" si="17"/>
        <v/>
      </c>
    </row>
    <row r="27" spans="1:27" x14ac:dyDescent="0.25">
      <c r="A27" s="1363">
        <v>0.23</v>
      </c>
      <c r="B27" s="13">
        <f t="shared" si="4"/>
        <v>3.4000000000000002E-2</v>
      </c>
      <c r="C27" s="1364">
        <f t="shared" si="5"/>
        <v>54.2</v>
      </c>
      <c r="D27" s="1364">
        <f ca="1">B27*'Ввод исходных данных'!$G$285+C27+IF('Ввод исходных данных'!$D$159=0,7,10)</f>
        <v>238.892</v>
      </c>
      <c r="E27" s="1431" t="str">
        <f t="shared" ca="1" si="6"/>
        <v/>
      </c>
      <c r="F27" s="1364" t="str">
        <f t="shared" ca="1" si="7"/>
        <v/>
      </c>
      <c r="G27" s="1364" t="str">
        <f t="shared" ca="1" si="8"/>
        <v/>
      </c>
      <c r="H27" s="1364" t="str">
        <f t="shared" ca="1" si="9"/>
        <v/>
      </c>
      <c r="I27" s="1364" t="str">
        <f t="shared" ca="1" si="10"/>
        <v/>
      </c>
      <c r="J27" s="1364">
        <f t="shared" ca="1" si="11"/>
        <v>238.892</v>
      </c>
      <c r="K27" s="1364" t="str">
        <f t="shared" ca="1" si="12"/>
        <v/>
      </c>
      <c r="L27" s="1364" t="str">
        <f t="shared" ca="1" si="13"/>
        <v/>
      </c>
      <c r="M27" s="1364" t="str">
        <f t="shared" ca="1" si="14"/>
        <v/>
      </c>
      <c r="N27" s="13">
        <f t="shared" ca="1" si="18"/>
        <v>1.9963069287660569E-2</v>
      </c>
      <c r="O27" s="13">
        <f t="shared" ca="1" si="19"/>
        <v>137.15287254901961</v>
      </c>
      <c r="P27" s="1366">
        <f t="shared" ca="1" si="19"/>
        <v>249.72312254901959</v>
      </c>
      <c r="Q27" s="13">
        <f t="shared" ca="1" si="20"/>
        <v>7.9852277150642276E-3</v>
      </c>
      <c r="R27" s="13">
        <f t="shared" ca="1" si="21"/>
        <v>54.861149019607844</v>
      </c>
      <c r="S27" s="1366">
        <f t="shared" ca="1" si="21"/>
        <v>99.889249019607846</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3">
        <v>0.24</v>
      </c>
      <c r="B28" s="13">
        <f t="shared" si="4"/>
        <v>3.4000000000000002E-2</v>
      </c>
      <c r="C28" s="1364">
        <f t="shared" si="5"/>
        <v>54.2</v>
      </c>
      <c r="D28" s="1364">
        <f ca="1">B28*'Ввод исходных данных'!$G$285+C28+IF('Ввод исходных данных'!$D$159=0,7,10)</f>
        <v>238.892</v>
      </c>
      <c r="E28" s="1431" t="str">
        <f t="shared" ca="1" si="6"/>
        <v/>
      </c>
      <c r="F28" s="1364" t="str">
        <f t="shared" ca="1" si="7"/>
        <v/>
      </c>
      <c r="G28" s="1364" t="str">
        <f t="shared" ca="1" si="8"/>
        <v/>
      </c>
      <c r="H28" s="1364" t="str">
        <f t="shared" ca="1" si="9"/>
        <v/>
      </c>
      <c r="I28" s="1364" t="str">
        <f t="shared" ca="1" si="10"/>
        <v/>
      </c>
      <c r="J28" s="1364">
        <f t="shared" ca="1" si="11"/>
        <v>238.892</v>
      </c>
      <c r="K28" s="1364" t="str">
        <f t="shared" ca="1" si="12"/>
        <v/>
      </c>
      <c r="L28" s="1364" t="str">
        <f t="shared" ca="1" si="13"/>
        <v/>
      </c>
      <c r="M28" s="1364" t="str">
        <f t="shared" ca="1" si="14"/>
        <v/>
      </c>
      <c r="N28" s="13">
        <f t="shared" ca="1" si="18"/>
        <v>1.9963069287660569E-2</v>
      </c>
      <c r="O28" s="13">
        <f t="shared" ca="1" si="19"/>
        <v>137.15287254901961</v>
      </c>
      <c r="P28" s="1366">
        <f t="shared" ca="1" si="19"/>
        <v>249.72312254901959</v>
      </c>
      <c r="Q28" s="13">
        <f t="shared" ca="1" si="20"/>
        <v>7.9852277150642276E-3</v>
      </c>
      <c r="R28" s="13">
        <f t="shared" ca="1" si="21"/>
        <v>54.861149019607844</v>
      </c>
      <c r="S28" s="1366">
        <f t="shared" ca="1" si="21"/>
        <v>99.889249019607846</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3">
        <v>0.25</v>
      </c>
      <c r="B29" s="13">
        <f t="shared" si="4"/>
        <v>3.5000000000000003E-2</v>
      </c>
      <c r="C29" s="1364">
        <f t="shared" si="5"/>
        <v>55.8</v>
      </c>
      <c r="D29" s="1364">
        <f ca="1">B29*'Ввод исходных данных'!$G$285+C29+IF('Ввод исходных данных'!$D$159=0,7,10)</f>
        <v>245.63</v>
      </c>
      <c r="E29" s="1431" t="str">
        <f t="shared" ca="1" si="6"/>
        <v/>
      </c>
      <c r="F29" s="1364" t="str">
        <f t="shared" ca="1" si="7"/>
        <v/>
      </c>
      <c r="G29" s="1364" t="str">
        <f t="shared" ca="1" si="8"/>
        <v/>
      </c>
      <c r="H29" s="1364" t="str">
        <f t="shared" ca="1" si="9"/>
        <v/>
      </c>
      <c r="I29" s="1364" t="str">
        <f t="shared" ca="1" si="10"/>
        <v/>
      </c>
      <c r="J29" s="1364">
        <f t="shared" ca="1" si="11"/>
        <v>245.63</v>
      </c>
      <c r="K29" s="1364" t="str">
        <f t="shared" ca="1" si="12"/>
        <v/>
      </c>
      <c r="L29" s="1364" t="str">
        <f t="shared" ca="1" si="13"/>
        <v/>
      </c>
      <c r="M29" s="1364" t="str">
        <f t="shared" ca="1" si="14"/>
        <v/>
      </c>
      <c r="N29" s="13">
        <f t="shared" ca="1" si="18"/>
        <v>1.9963069287660569E-2</v>
      </c>
      <c r="O29" s="13">
        <f t="shared" ca="1" si="19"/>
        <v>137.15287254901961</v>
      </c>
      <c r="P29" s="1366">
        <f t="shared" ca="1" si="19"/>
        <v>249.72312254901959</v>
      </c>
      <c r="Q29" s="13">
        <f t="shared" ca="1" si="20"/>
        <v>7.9852277150642276E-3</v>
      </c>
      <c r="R29" s="13">
        <f t="shared" ca="1" si="21"/>
        <v>54.861149019607844</v>
      </c>
      <c r="S29" s="1366">
        <f t="shared" ca="1" si="21"/>
        <v>99.889249019607846</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3">
        <v>0.26</v>
      </c>
      <c r="B30" s="13">
        <f t="shared" si="4"/>
        <v>3.5000000000000003E-2</v>
      </c>
      <c r="C30" s="1364">
        <f t="shared" si="5"/>
        <v>55.8</v>
      </c>
      <c r="D30" s="1364">
        <f ca="1">B30*'Ввод исходных данных'!$G$285+C30+IF('Ввод исходных данных'!$D$159=0,7,10)</f>
        <v>245.63</v>
      </c>
      <c r="E30" s="1431" t="str">
        <f t="shared" ca="1" si="6"/>
        <v/>
      </c>
      <c r="F30" s="1364" t="str">
        <f t="shared" ca="1" si="7"/>
        <v/>
      </c>
      <c r="G30" s="1364" t="str">
        <f t="shared" ca="1" si="8"/>
        <v/>
      </c>
      <c r="H30" s="1364" t="str">
        <f t="shared" ca="1" si="9"/>
        <v/>
      </c>
      <c r="I30" s="1364" t="str">
        <f t="shared" ca="1" si="10"/>
        <v/>
      </c>
      <c r="J30" s="1364">
        <f t="shared" ca="1" si="11"/>
        <v>245.63</v>
      </c>
      <c r="K30" s="1364" t="str">
        <f t="shared" ca="1" si="12"/>
        <v/>
      </c>
      <c r="L30" s="1364" t="str">
        <f t="shared" ca="1" si="13"/>
        <v/>
      </c>
      <c r="M30" s="1364" t="str">
        <f t="shared" ca="1" si="14"/>
        <v/>
      </c>
      <c r="N30" s="13">
        <f t="shared" ca="1" si="18"/>
        <v>1.9963069287660569E-2</v>
      </c>
      <c r="O30" s="13">
        <f t="shared" ca="1" si="19"/>
        <v>137.15287254901961</v>
      </c>
      <c r="P30" s="1366">
        <f t="shared" ca="1" si="19"/>
        <v>249.72312254901959</v>
      </c>
      <c r="Q30" s="13">
        <f t="shared" ca="1" si="20"/>
        <v>7.9852277150642276E-3</v>
      </c>
      <c r="R30" s="13">
        <f t="shared" ca="1" si="21"/>
        <v>54.861149019607844</v>
      </c>
      <c r="S30" s="1366">
        <f t="shared" ca="1" si="21"/>
        <v>99.889249019607846</v>
      </c>
      <c r="U30" s="13" t="str">
        <f t="shared" ca="1" si="0"/>
        <v/>
      </c>
      <c r="V30" s="13" t="str">
        <f t="shared" si="1"/>
        <v/>
      </c>
      <c r="W30" s="13" t="str">
        <f t="shared" ca="1" si="16"/>
        <v/>
      </c>
      <c r="Y30" s="13" t="str">
        <f t="shared" ca="1" si="2"/>
        <v/>
      </c>
      <c r="Z30" s="13" t="str">
        <f t="shared" ca="1" si="3"/>
        <v/>
      </c>
      <c r="AA30" s="13" t="str">
        <f t="shared" ca="1" si="17"/>
        <v/>
      </c>
    </row>
    <row r="31" spans="1:27" x14ac:dyDescent="0.25">
      <c r="A31" s="1363">
        <v>0.27</v>
      </c>
      <c r="B31" s="13">
        <f t="shared" si="4"/>
        <v>3.5999999999999997E-2</v>
      </c>
      <c r="C31" s="1364">
        <f t="shared" si="5"/>
        <v>57.5</v>
      </c>
      <c r="D31" s="1364">
        <f ca="1">B31*'Ввод исходных данных'!$G$285+C31+IF('Ввод исходных данных'!$D$159=0,7,10)</f>
        <v>252.46799999999999</v>
      </c>
      <c r="E31" s="1431" t="str">
        <f t="shared" ca="1" si="6"/>
        <v/>
      </c>
      <c r="F31" s="1364" t="str">
        <f t="shared" ca="1" si="7"/>
        <v/>
      </c>
      <c r="G31" s="1364" t="str">
        <f t="shared" ca="1" si="8"/>
        <v/>
      </c>
      <c r="H31" s="1364" t="str">
        <f t="shared" ca="1" si="9"/>
        <v/>
      </c>
      <c r="I31" s="1364" t="str">
        <f t="shared" ca="1" si="10"/>
        <v/>
      </c>
      <c r="J31" s="1364" t="str">
        <f t="shared" ca="1" si="11"/>
        <v/>
      </c>
      <c r="K31" s="1364">
        <f t="shared" ca="1" si="12"/>
        <v>252.46799999999999</v>
      </c>
      <c r="L31" s="1364" t="str">
        <f t="shared" ca="1" si="13"/>
        <v/>
      </c>
      <c r="M31" s="1364" t="str">
        <f t="shared" ca="1" si="14"/>
        <v/>
      </c>
      <c r="N31" s="13">
        <f t="shared" ca="1" si="18"/>
        <v>1.9963069287660569E-2</v>
      </c>
      <c r="O31" s="13">
        <f t="shared" ca="1" si="19"/>
        <v>137.15287254901961</v>
      </c>
      <c r="P31" s="1366">
        <f t="shared" ca="1" si="19"/>
        <v>249.72312254901959</v>
      </c>
      <c r="Q31" s="13">
        <f t="shared" ca="1" si="20"/>
        <v>7.9852277150642276E-3</v>
      </c>
      <c r="R31" s="13">
        <f t="shared" ca="1" si="21"/>
        <v>54.861149019607844</v>
      </c>
      <c r="S31" s="1366">
        <f t="shared" ca="1" si="21"/>
        <v>99.889249019607846</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3">
        <v>0.28000000000000003</v>
      </c>
      <c r="B32" s="13">
        <f t="shared" si="4"/>
        <v>3.5999999999999997E-2</v>
      </c>
      <c r="C32" s="1364">
        <f t="shared" si="5"/>
        <v>57.5</v>
      </c>
      <c r="D32" s="1364">
        <f ca="1">B32*'Ввод исходных данных'!$G$285+C32+IF('Ввод исходных данных'!$D$159=0,7,10)</f>
        <v>252.46799999999999</v>
      </c>
      <c r="E32" s="1431" t="str">
        <f t="shared" ca="1" si="6"/>
        <v/>
      </c>
      <c r="F32" s="1364" t="str">
        <f t="shared" ca="1" si="7"/>
        <v/>
      </c>
      <c r="G32" s="1364" t="str">
        <f t="shared" ca="1" si="8"/>
        <v/>
      </c>
      <c r="H32" s="1364" t="str">
        <f t="shared" ca="1" si="9"/>
        <v/>
      </c>
      <c r="I32" s="1364" t="str">
        <f t="shared" ca="1" si="10"/>
        <v/>
      </c>
      <c r="J32" s="1364" t="str">
        <f t="shared" ca="1" si="11"/>
        <v/>
      </c>
      <c r="K32" s="1364">
        <f t="shared" ca="1" si="12"/>
        <v>252.46799999999999</v>
      </c>
      <c r="L32" s="1364" t="str">
        <f t="shared" ca="1" si="13"/>
        <v/>
      </c>
      <c r="M32" s="1364" t="str">
        <f t="shared" ca="1" si="14"/>
        <v/>
      </c>
      <c r="N32" s="13">
        <f t="shared" ca="1" si="18"/>
        <v>1.9963069287660569E-2</v>
      </c>
      <c r="O32" s="13">
        <f t="shared" ca="1" si="19"/>
        <v>137.15287254901961</v>
      </c>
      <c r="P32" s="1366">
        <f t="shared" ca="1" si="19"/>
        <v>249.72312254901959</v>
      </c>
      <c r="Q32" s="13">
        <f t="shared" ca="1" si="20"/>
        <v>7.9852277150642276E-3</v>
      </c>
      <c r="R32" s="13">
        <f t="shared" ca="1" si="21"/>
        <v>54.861149019607844</v>
      </c>
      <c r="S32" s="1366">
        <f t="shared" ca="1" si="21"/>
        <v>99.889249019607846</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3">
        <v>0.28999999999999998</v>
      </c>
      <c r="B33" s="13">
        <f t="shared" si="4"/>
        <v>3.6999999999999998E-2</v>
      </c>
      <c r="C33" s="1364">
        <f t="shared" si="5"/>
        <v>58.8</v>
      </c>
      <c r="D33" s="1364">
        <f ca="1">B33*'Ввод исходных данных'!$G$285+C33+IF('Ввод исходных данных'!$D$159=0,7,10)</f>
        <v>258.90600000000001</v>
      </c>
      <c r="E33" s="1431" t="str">
        <f t="shared" ca="1" si="6"/>
        <v/>
      </c>
      <c r="F33" s="1364" t="str">
        <f t="shared" ca="1" si="7"/>
        <v/>
      </c>
      <c r="G33" s="1364" t="str">
        <f t="shared" ca="1" si="8"/>
        <v/>
      </c>
      <c r="H33" s="1364" t="str">
        <f t="shared" ca="1" si="9"/>
        <v/>
      </c>
      <c r="I33" s="1364" t="str">
        <f t="shared" ca="1" si="10"/>
        <v/>
      </c>
      <c r="J33" s="1364" t="str">
        <f t="shared" ca="1" si="11"/>
        <v/>
      </c>
      <c r="K33" s="1364">
        <f t="shared" ca="1" si="12"/>
        <v>258.90600000000001</v>
      </c>
      <c r="L33" s="1364" t="str">
        <f t="shared" ca="1" si="13"/>
        <v/>
      </c>
      <c r="M33" s="1364" t="str">
        <f t="shared" ca="1" si="14"/>
        <v/>
      </c>
      <c r="N33" s="13">
        <f t="shared" ca="1" si="18"/>
        <v>1.9963069287660569E-2</v>
      </c>
      <c r="O33" s="13">
        <f t="shared" ca="1" si="19"/>
        <v>137.15287254901961</v>
      </c>
      <c r="P33" s="1366">
        <f t="shared" ca="1" si="19"/>
        <v>249.72312254901959</v>
      </c>
      <c r="Q33" s="13">
        <f t="shared" ca="1" si="20"/>
        <v>7.9852277150642276E-3</v>
      </c>
      <c r="R33" s="13">
        <f t="shared" ca="1" si="21"/>
        <v>54.861149019607844</v>
      </c>
      <c r="S33" s="1366">
        <f t="shared" ca="1" si="21"/>
        <v>99.889249019607846</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3">
        <v>0.3</v>
      </c>
      <c r="B34" s="13">
        <f t="shared" si="4"/>
        <v>3.6999999999999998E-2</v>
      </c>
      <c r="C34" s="1364">
        <f t="shared" si="5"/>
        <v>58.8</v>
      </c>
      <c r="D34" s="1364">
        <f ca="1">B34*'Ввод исходных данных'!$G$285+C34+IF('Ввод исходных данных'!$D$159=0,7,10)</f>
        <v>258.90600000000001</v>
      </c>
      <c r="E34" s="1431" t="str">
        <f t="shared" ca="1" si="6"/>
        <v/>
      </c>
      <c r="F34" s="1364" t="str">
        <f t="shared" ca="1" si="7"/>
        <v/>
      </c>
      <c r="G34" s="1364" t="str">
        <f t="shared" ca="1" si="8"/>
        <v/>
      </c>
      <c r="H34" s="1364" t="str">
        <f t="shared" ca="1" si="9"/>
        <v/>
      </c>
      <c r="I34" s="1364" t="str">
        <f t="shared" ca="1" si="10"/>
        <v/>
      </c>
      <c r="J34" s="1364" t="str">
        <f t="shared" ca="1" si="11"/>
        <v/>
      </c>
      <c r="K34" s="1364">
        <f t="shared" ca="1" si="12"/>
        <v>258.90600000000001</v>
      </c>
      <c r="L34" s="1364" t="str">
        <f t="shared" ca="1" si="13"/>
        <v/>
      </c>
      <c r="M34" s="1364" t="str">
        <f t="shared" ca="1" si="14"/>
        <v/>
      </c>
      <c r="N34" s="13">
        <f t="shared" ca="1" si="18"/>
        <v>1.9963069287660569E-2</v>
      </c>
      <c r="O34" s="13">
        <f t="shared" ca="1" si="19"/>
        <v>137.15287254901961</v>
      </c>
      <c r="P34" s="1366">
        <f t="shared" ca="1" si="19"/>
        <v>249.72312254901959</v>
      </c>
      <c r="Q34" s="13">
        <f t="shared" ca="1" si="20"/>
        <v>7.9852277150642276E-3</v>
      </c>
      <c r="R34" s="13">
        <f t="shared" ca="1" si="21"/>
        <v>54.861149019607844</v>
      </c>
      <c r="S34" s="1366">
        <f t="shared" ca="1" si="21"/>
        <v>99.889249019607846</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3">
        <v>0.31</v>
      </c>
      <c r="B35" s="13">
        <f t="shared" si="4"/>
        <v>3.6999999999999998E-2</v>
      </c>
      <c r="C35" s="1364">
        <f t="shared" si="5"/>
        <v>60.2</v>
      </c>
      <c r="D35" s="1364">
        <f ca="1">B35*'Ввод исходных данных'!$G$285+C35+IF('Ввод исходных данных'!$D$159=0,7,10)</f>
        <v>260.30599999999998</v>
      </c>
      <c r="E35" s="1431" t="str">
        <f t="shared" ca="1" si="6"/>
        <v/>
      </c>
      <c r="F35" s="1364" t="str">
        <f t="shared" ca="1" si="7"/>
        <v/>
      </c>
      <c r="G35" s="1364" t="str">
        <f t="shared" ca="1" si="8"/>
        <v/>
      </c>
      <c r="H35" s="1364" t="str">
        <f t="shared" ca="1" si="9"/>
        <v/>
      </c>
      <c r="I35" s="1364" t="str">
        <f t="shared" ca="1" si="10"/>
        <v/>
      </c>
      <c r="J35" s="1364" t="str">
        <f t="shared" ca="1" si="11"/>
        <v/>
      </c>
      <c r="K35" s="1364">
        <f t="shared" ca="1" si="12"/>
        <v>260.30599999999998</v>
      </c>
      <c r="L35" s="1364" t="str">
        <f t="shared" ca="1" si="13"/>
        <v/>
      </c>
      <c r="M35" s="1364" t="str">
        <f t="shared" ca="1" si="14"/>
        <v/>
      </c>
      <c r="N35" s="13">
        <f t="shared" ca="1" si="18"/>
        <v>1.9963069287660569E-2</v>
      </c>
      <c r="O35" s="13">
        <f t="shared" ca="1" si="19"/>
        <v>137.15287254901961</v>
      </c>
      <c r="P35" s="1366">
        <f t="shared" ca="1" si="19"/>
        <v>249.72312254901959</v>
      </c>
      <c r="Q35" s="13">
        <f t="shared" ca="1" si="20"/>
        <v>7.9852277150642276E-3</v>
      </c>
      <c r="R35" s="13">
        <f t="shared" ca="1" si="21"/>
        <v>54.861149019607844</v>
      </c>
      <c r="S35" s="1366">
        <f t="shared" ca="1" si="21"/>
        <v>99.889249019607846</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3">
        <v>0.32</v>
      </c>
      <c r="B36" s="13">
        <f t="shared" si="4"/>
        <v>3.6999999999999998E-2</v>
      </c>
      <c r="C36" s="1364">
        <f t="shared" si="5"/>
        <v>60.2</v>
      </c>
      <c r="D36" s="1364">
        <f ca="1">B36*'Ввод исходных данных'!$G$285+C36+IF('Ввод исходных данных'!$D$159=0,7,10)</f>
        <v>260.30599999999998</v>
      </c>
      <c r="E36" s="1431" t="str">
        <f t="shared" ca="1" si="6"/>
        <v/>
      </c>
      <c r="F36" s="1364" t="str">
        <f t="shared" ca="1" si="7"/>
        <v/>
      </c>
      <c r="G36" s="1364" t="str">
        <f t="shared" ca="1" si="8"/>
        <v/>
      </c>
      <c r="H36" s="1364" t="str">
        <f t="shared" ca="1" si="9"/>
        <v/>
      </c>
      <c r="I36" s="1364" t="str">
        <f t="shared" ca="1" si="10"/>
        <v/>
      </c>
      <c r="J36" s="1364" t="str">
        <f t="shared" ca="1" si="11"/>
        <v/>
      </c>
      <c r="K36" s="1364">
        <f t="shared" ca="1" si="12"/>
        <v>260.30599999999998</v>
      </c>
      <c r="L36" s="1364" t="str">
        <f t="shared" ca="1" si="13"/>
        <v/>
      </c>
      <c r="M36" s="1364" t="str">
        <f t="shared" ca="1" si="14"/>
        <v/>
      </c>
      <c r="N36" s="13">
        <f t="shared" ca="1" si="18"/>
        <v>1.9963069287660569E-2</v>
      </c>
      <c r="O36" s="13">
        <f t="shared" ca="1" si="19"/>
        <v>137.15287254901961</v>
      </c>
      <c r="P36" s="1366">
        <f t="shared" ca="1" si="19"/>
        <v>249.72312254901959</v>
      </c>
      <c r="Q36" s="13">
        <f t="shared" ca="1" si="20"/>
        <v>7.9852277150642276E-3</v>
      </c>
      <c r="R36" s="13">
        <f t="shared" ca="1" si="21"/>
        <v>54.861149019607844</v>
      </c>
      <c r="S36" s="1366">
        <f t="shared" ca="1" si="21"/>
        <v>99.889249019607846</v>
      </c>
      <c r="U36" s="13" t="str">
        <f t="shared" ca="1" si="0"/>
        <v/>
      </c>
      <c r="V36" s="13" t="str">
        <f t="shared" si="1"/>
        <v/>
      </c>
      <c r="W36" s="13" t="str">
        <f t="shared" ca="1" si="16"/>
        <v/>
      </c>
      <c r="Y36" s="13" t="str">
        <f t="shared" ca="1" si="2"/>
        <v/>
      </c>
      <c r="Z36" s="13" t="str">
        <f t="shared" ca="1" si="3"/>
        <v/>
      </c>
      <c r="AA36" s="13">
        <f t="shared" ca="1" si="17"/>
        <v>266.21936357599344</v>
      </c>
    </row>
    <row r="37" spans="1:27" x14ac:dyDescent="0.25">
      <c r="A37" s="1363">
        <v>0.33</v>
      </c>
      <c r="B37" s="13">
        <f t="shared" si="4"/>
        <v>3.7999999999999999E-2</v>
      </c>
      <c r="C37" s="1364">
        <f t="shared" si="5"/>
        <v>62.2</v>
      </c>
      <c r="D37" s="1364">
        <f ca="1">B37*'Ввод исходных данных'!$G$285+C37+IF('Ввод исходных данных'!$D$159=0,7,10)</f>
        <v>267.44400000000002</v>
      </c>
      <c r="E37" s="1431" t="str">
        <f t="shared" ca="1" si="6"/>
        <v/>
      </c>
      <c r="F37" s="1364" t="str">
        <f t="shared" ca="1" si="7"/>
        <v/>
      </c>
      <c r="G37" s="1364" t="str">
        <f t="shared" ca="1" si="8"/>
        <v/>
      </c>
      <c r="H37" s="1364" t="str">
        <f t="shared" ca="1" si="9"/>
        <v/>
      </c>
      <c r="I37" s="1364" t="str">
        <f t="shared" ca="1" si="10"/>
        <v/>
      </c>
      <c r="J37" s="1364" t="str">
        <f t="shared" ca="1" si="11"/>
        <v/>
      </c>
      <c r="K37" s="1364">
        <f t="shared" ca="1" si="12"/>
        <v>267.44400000000002</v>
      </c>
      <c r="L37" s="1364" t="str">
        <f t="shared" ca="1" si="13"/>
        <v/>
      </c>
      <c r="M37" s="1364" t="str">
        <f t="shared" ca="1" si="14"/>
        <v/>
      </c>
      <c r="N37" s="13">
        <f t="shared" ca="1" si="18"/>
        <v>1.9963069287660569E-2</v>
      </c>
      <c r="O37" s="13">
        <f t="shared" ca="1" si="19"/>
        <v>137.15287254901961</v>
      </c>
      <c r="P37" s="1366">
        <f t="shared" ca="1" si="19"/>
        <v>249.72312254901959</v>
      </c>
      <c r="Q37" s="13">
        <f t="shared" ca="1" si="20"/>
        <v>7.9852277150642276E-3</v>
      </c>
      <c r="R37" s="13">
        <f t="shared" ca="1" si="21"/>
        <v>54.861149019607844</v>
      </c>
      <c r="S37" s="1366">
        <f t="shared" ca="1" si="21"/>
        <v>99.889249019607846</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3.7999999999999999E-2</v>
      </c>
      <c r="C38" s="1364">
        <f t="shared" si="5"/>
        <v>62.2</v>
      </c>
      <c r="D38" s="1364">
        <f ca="1">B38*'Ввод исходных данных'!$G$285+C38+IF('Ввод исходных данных'!$D$159=0,7,10)</f>
        <v>267.44400000000002</v>
      </c>
      <c r="E38" s="1431" t="str">
        <f t="shared" ca="1" si="6"/>
        <v/>
      </c>
      <c r="F38" s="1364" t="str">
        <f t="shared" ca="1" si="7"/>
        <v/>
      </c>
      <c r="G38" s="1364" t="str">
        <f t="shared" ca="1" si="8"/>
        <v/>
      </c>
      <c r="H38" s="1364" t="str">
        <f t="shared" ca="1" si="9"/>
        <v/>
      </c>
      <c r="I38" s="1364" t="str">
        <f t="shared" ca="1" si="10"/>
        <v/>
      </c>
      <c r="J38" s="1364" t="str">
        <f t="shared" ca="1" si="11"/>
        <v/>
      </c>
      <c r="K38" s="1364">
        <f t="shared" ca="1" si="12"/>
        <v>267.44400000000002</v>
      </c>
      <c r="L38" s="1364" t="str">
        <f t="shared" ca="1" si="13"/>
        <v/>
      </c>
      <c r="M38" s="1364" t="str">
        <f t="shared" ca="1" si="14"/>
        <v/>
      </c>
      <c r="N38" s="13">
        <f t="shared" ca="1" si="18"/>
        <v>1.9963069287660569E-2</v>
      </c>
      <c r="O38" s="13">
        <f t="shared" ca="1" si="19"/>
        <v>137.15287254901961</v>
      </c>
      <c r="P38" s="1366">
        <f t="shared" ca="1" si="19"/>
        <v>249.72312254901959</v>
      </c>
      <c r="Q38" s="13">
        <f t="shared" ca="1" si="20"/>
        <v>7.9852277150642276E-3</v>
      </c>
      <c r="R38" s="13">
        <f t="shared" ca="1" si="21"/>
        <v>54.861149019607844</v>
      </c>
      <c r="S38" s="1366">
        <f t="shared" ca="1" si="21"/>
        <v>99.889249019607846</v>
      </c>
      <c r="U38" s="13">
        <f t="shared" ca="1" si="22"/>
        <v>3.8163524461606466E-2</v>
      </c>
      <c r="V38" s="13" t="str">
        <f t="shared" si="23"/>
        <v/>
      </c>
      <c r="W38" s="13" t="str">
        <f t="shared" ca="1" si="16"/>
        <v/>
      </c>
      <c r="Y38" s="13" t="str">
        <f t="shared" ca="1" si="24"/>
        <v/>
      </c>
      <c r="Z38" s="13" t="str">
        <f t="shared" ca="1" si="25"/>
        <v/>
      </c>
      <c r="AA38" s="13" t="str">
        <f t="shared" ca="1" si="17"/>
        <v/>
      </c>
    </row>
    <row r="39" spans="1:27" x14ac:dyDescent="0.25">
      <c r="A39" s="1363">
        <v>0.35</v>
      </c>
      <c r="B39" s="13">
        <f t="shared" si="4"/>
        <v>3.9E-2</v>
      </c>
      <c r="C39" s="1364">
        <f t="shared" si="5"/>
        <v>63.5</v>
      </c>
      <c r="D39" s="1364">
        <f ca="1">B39*'Ввод исходных данных'!$G$285+C39+IF('Ввод исходных данных'!$D$159=0,7,10)</f>
        <v>273.88200000000001</v>
      </c>
      <c r="E39" s="1431" t="str">
        <f t="shared" ca="1" si="6"/>
        <v/>
      </c>
      <c r="F39" s="1364" t="str">
        <f t="shared" ca="1" si="7"/>
        <v/>
      </c>
      <c r="G39" s="1364" t="str">
        <f t="shared" ca="1" si="8"/>
        <v/>
      </c>
      <c r="H39" s="1364" t="str">
        <f t="shared" ca="1" si="9"/>
        <v/>
      </c>
      <c r="I39" s="1364" t="str">
        <f t="shared" ca="1" si="10"/>
        <v/>
      </c>
      <c r="J39" s="1364" t="str">
        <f t="shared" ca="1" si="11"/>
        <v/>
      </c>
      <c r="K39" s="1364">
        <f t="shared" ca="1" si="12"/>
        <v>273.88200000000001</v>
      </c>
      <c r="L39" s="1364" t="str">
        <f t="shared" ca="1" si="13"/>
        <v/>
      </c>
      <c r="M39" s="1364" t="str">
        <f t="shared" ca="1" si="14"/>
        <v/>
      </c>
      <c r="N39" s="13">
        <f t="shared" ca="1" si="18"/>
        <v>1.9963069287660569E-2</v>
      </c>
      <c r="O39" s="13">
        <f t="shared" ca="1" si="19"/>
        <v>137.15287254901961</v>
      </c>
      <c r="P39" s="1366">
        <f t="shared" ca="1" si="19"/>
        <v>249.72312254901959</v>
      </c>
      <c r="Q39" s="13">
        <f t="shared" ca="1" si="20"/>
        <v>7.9852277150642276E-3</v>
      </c>
      <c r="R39" s="13">
        <f t="shared" ca="1" si="21"/>
        <v>54.861149019607844</v>
      </c>
      <c r="S39" s="1366">
        <f t="shared" ca="1" si="21"/>
        <v>99.889249019607846</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3">
        <v>0.36</v>
      </c>
      <c r="B40" s="13">
        <f t="shared" si="4"/>
        <v>3.9E-2</v>
      </c>
      <c r="C40" s="1364">
        <f t="shared" si="5"/>
        <v>63.5</v>
      </c>
      <c r="D40" s="1364">
        <f ca="1">B40*'Ввод исходных данных'!$G$285+C40+IF('Ввод исходных данных'!$D$159=0,7,10)</f>
        <v>273.88200000000001</v>
      </c>
      <c r="E40" s="1431" t="str">
        <f t="shared" ca="1" si="6"/>
        <v/>
      </c>
      <c r="F40" s="1364" t="str">
        <f t="shared" ca="1" si="7"/>
        <v/>
      </c>
      <c r="G40" s="1364" t="str">
        <f t="shared" ca="1" si="8"/>
        <v/>
      </c>
      <c r="H40" s="1364" t="str">
        <f t="shared" ca="1" si="9"/>
        <v/>
      </c>
      <c r="I40" s="1364" t="str">
        <f t="shared" ca="1" si="10"/>
        <v/>
      </c>
      <c r="J40" s="1364" t="str">
        <f t="shared" ca="1" si="11"/>
        <v/>
      </c>
      <c r="K40" s="1364">
        <f t="shared" ca="1" si="12"/>
        <v>273.88200000000001</v>
      </c>
      <c r="L40" s="1364" t="str">
        <f t="shared" ca="1" si="13"/>
        <v/>
      </c>
      <c r="M40" s="1364" t="str">
        <f t="shared" ca="1" si="14"/>
        <v/>
      </c>
      <c r="N40" s="13">
        <f t="shared" ca="1" si="18"/>
        <v>1.9963069287660569E-2</v>
      </c>
      <c r="O40" s="13">
        <f t="shared" ca="1" si="19"/>
        <v>137.15287254901961</v>
      </c>
      <c r="P40" s="1366">
        <f t="shared" ca="1" si="19"/>
        <v>249.72312254901959</v>
      </c>
      <c r="Q40" s="13">
        <f t="shared" ca="1" si="20"/>
        <v>7.9852277150642276E-3</v>
      </c>
      <c r="R40" s="13">
        <f t="shared" ca="1" si="21"/>
        <v>54.861149019607844</v>
      </c>
      <c r="S40" s="1366">
        <f t="shared" ca="1" si="21"/>
        <v>99.889249019607846</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3">
        <v>0.37</v>
      </c>
      <c r="B41" s="13">
        <f t="shared" si="4"/>
        <v>3.9E-2</v>
      </c>
      <c r="C41" s="1364">
        <f t="shared" si="5"/>
        <v>65.5</v>
      </c>
      <c r="D41" s="1364">
        <f ca="1">B41*'Ввод исходных данных'!$G$285+C41+IF('Ввод исходных данных'!$D$159=0,7,10)</f>
        <v>275.88200000000001</v>
      </c>
      <c r="E41" s="1431" t="str">
        <f t="shared" ca="1" si="6"/>
        <v/>
      </c>
      <c r="F41" s="1364" t="str">
        <f t="shared" ca="1" si="7"/>
        <v/>
      </c>
      <c r="G41" s="1364" t="str">
        <f t="shared" ca="1" si="8"/>
        <v/>
      </c>
      <c r="H41" s="1364" t="str">
        <f t="shared" ca="1" si="9"/>
        <v/>
      </c>
      <c r="I41" s="1364" t="str">
        <f t="shared" ca="1" si="10"/>
        <v/>
      </c>
      <c r="J41" s="1364" t="str">
        <f t="shared" ca="1" si="11"/>
        <v/>
      </c>
      <c r="K41" s="1364">
        <f t="shared" ca="1" si="12"/>
        <v>275.88200000000001</v>
      </c>
      <c r="L41" s="1364" t="str">
        <f t="shared" ca="1" si="13"/>
        <v/>
      </c>
      <c r="M41" s="1364" t="str">
        <f t="shared" ca="1" si="14"/>
        <v/>
      </c>
      <c r="N41" s="13">
        <f t="shared" ca="1" si="18"/>
        <v>1.9963069287660569E-2</v>
      </c>
      <c r="O41" s="13">
        <f t="shared" ca="1" si="19"/>
        <v>137.15287254901961</v>
      </c>
      <c r="P41" s="1366">
        <f t="shared" ca="1" si="19"/>
        <v>249.72312254901959</v>
      </c>
      <c r="Q41" s="13">
        <f t="shared" ca="1" si="20"/>
        <v>7.9852277150642276E-3</v>
      </c>
      <c r="R41" s="13">
        <f t="shared" ca="1" si="21"/>
        <v>54.861149019607844</v>
      </c>
      <c r="S41" s="1366">
        <f t="shared" ca="1" si="21"/>
        <v>99.889249019607846</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3">
        <v>0.38</v>
      </c>
      <c r="B42" s="13">
        <f t="shared" si="4"/>
        <v>3.9E-2</v>
      </c>
      <c r="C42" s="1364">
        <f t="shared" si="5"/>
        <v>65.5</v>
      </c>
      <c r="D42" s="1364">
        <f ca="1">B42*'Ввод исходных данных'!$G$285+C42+IF('Ввод исходных данных'!$D$159=0,7,10)</f>
        <v>275.88200000000001</v>
      </c>
      <c r="E42" s="1431" t="str">
        <f t="shared" ca="1" si="6"/>
        <v/>
      </c>
      <c r="F42" s="1364" t="str">
        <f t="shared" ca="1" si="7"/>
        <v/>
      </c>
      <c r="G42" s="1364" t="str">
        <f t="shared" ca="1" si="8"/>
        <v/>
      </c>
      <c r="H42" s="1364" t="str">
        <f t="shared" ca="1" si="9"/>
        <v/>
      </c>
      <c r="I42" s="1364" t="str">
        <f t="shared" ca="1" si="10"/>
        <v/>
      </c>
      <c r="J42" s="1364" t="str">
        <f t="shared" ca="1" si="11"/>
        <v/>
      </c>
      <c r="K42" s="1364">
        <f t="shared" ca="1" si="12"/>
        <v>275.88200000000001</v>
      </c>
      <c r="L42" s="1364" t="str">
        <f t="shared" ca="1" si="13"/>
        <v/>
      </c>
      <c r="M42" s="1364" t="str">
        <f t="shared" ca="1" si="14"/>
        <v/>
      </c>
      <c r="N42" s="13">
        <f t="shared" ca="1" si="18"/>
        <v>1.9963069287660569E-2</v>
      </c>
      <c r="O42" s="13">
        <f t="shared" ca="1" si="19"/>
        <v>137.15287254901961</v>
      </c>
      <c r="P42" s="1366">
        <f t="shared" ca="1" si="19"/>
        <v>249.72312254901959</v>
      </c>
      <c r="Q42" s="13">
        <f t="shared" ca="1" si="20"/>
        <v>7.9852277150642276E-3</v>
      </c>
      <c r="R42" s="13">
        <f t="shared" ca="1" si="21"/>
        <v>54.861149019607844</v>
      </c>
      <c r="S42" s="1366">
        <f t="shared" ca="1" si="21"/>
        <v>99.889249019607846</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3">
        <v>0.39</v>
      </c>
      <c r="B43" s="13">
        <f t="shared" si="4"/>
        <v>0.04</v>
      </c>
      <c r="C43" s="1364">
        <f t="shared" si="5"/>
        <v>67.2</v>
      </c>
      <c r="D43" s="1364">
        <f ca="1">B43*'Ввод исходных данных'!$G$285+C43+IF('Ввод исходных данных'!$D$159=0,7,10)</f>
        <v>282.72000000000003</v>
      </c>
      <c r="E43" s="1431" t="str">
        <f t="shared" ca="1" si="6"/>
        <v/>
      </c>
      <c r="F43" s="1364" t="str">
        <f t="shared" ca="1" si="7"/>
        <v/>
      </c>
      <c r="G43" s="1364" t="str">
        <f t="shared" ca="1" si="8"/>
        <v/>
      </c>
      <c r="H43" s="1364" t="str">
        <f t="shared" ca="1" si="9"/>
        <v/>
      </c>
      <c r="I43" s="1364" t="str">
        <f t="shared" ca="1" si="10"/>
        <v/>
      </c>
      <c r="J43" s="1364" t="str">
        <f t="shared" ca="1" si="11"/>
        <v/>
      </c>
      <c r="K43" s="1364">
        <f t="shared" ca="1" si="12"/>
        <v>282.72000000000003</v>
      </c>
      <c r="L43" s="1364" t="str">
        <f t="shared" ca="1" si="13"/>
        <v/>
      </c>
      <c r="M43" s="1364" t="str">
        <f t="shared" ca="1" si="14"/>
        <v/>
      </c>
      <c r="N43" s="13">
        <f t="shared" ca="1" si="18"/>
        <v>1.9963069287660569E-2</v>
      </c>
      <c r="O43" s="13">
        <f t="shared" ca="1" si="19"/>
        <v>137.15287254901961</v>
      </c>
      <c r="P43" s="1366">
        <f t="shared" ca="1" si="19"/>
        <v>249.72312254901959</v>
      </c>
      <c r="Q43" s="13">
        <f t="shared" ca="1" si="20"/>
        <v>7.9852277150642276E-3</v>
      </c>
      <c r="R43" s="13">
        <f t="shared" ca="1" si="21"/>
        <v>54.861149019607844</v>
      </c>
      <c r="S43" s="1366">
        <f t="shared" ca="1" si="21"/>
        <v>99.889249019607846</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3">
        <v>0.4</v>
      </c>
      <c r="B44" s="13">
        <f t="shared" si="4"/>
        <v>0.04</v>
      </c>
      <c r="C44" s="1364">
        <f t="shared" si="5"/>
        <v>67.2</v>
      </c>
      <c r="D44" s="1364">
        <f ca="1">B44*'Ввод исходных данных'!$G$285+C44+IF('Ввод исходных данных'!$D$159=0,7,10)</f>
        <v>282.72000000000003</v>
      </c>
      <c r="E44" s="1431" t="str">
        <f t="shared" ca="1" si="6"/>
        <v/>
      </c>
      <c r="F44" s="1364" t="str">
        <f t="shared" ca="1" si="7"/>
        <v/>
      </c>
      <c r="G44" s="1364" t="str">
        <f t="shared" ca="1" si="8"/>
        <v/>
      </c>
      <c r="H44" s="1364" t="str">
        <f t="shared" ca="1" si="9"/>
        <v/>
      </c>
      <c r="I44" s="1364" t="str">
        <f t="shared" ca="1" si="10"/>
        <v/>
      </c>
      <c r="J44" s="1364" t="str">
        <f t="shared" ca="1" si="11"/>
        <v/>
      </c>
      <c r="K44" s="1364">
        <f t="shared" ca="1" si="12"/>
        <v>282.72000000000003</v>
      </c>
      <c r="L44" s="1364" t="str">
        <f t="shared" ca="1" si="13"/>
        <v/>
      </c>
      <c r="M44" s="1364" t="str">
        <f t="shared" ca="1" si="14"/>
        <v/>
      </c>
      <c r="N44" s="13">
        <f t="shared" ca="1" si="18"/>
        <v>1.9963069287660569E-2</v>
      </c>
      <c r="O44" s="13">
        <f t="shared" ca="1" si="19"/>
        <v>137.15287254901961</v>
      </c>
      <c r="P44" s="1366">
        <f t="shared" ca="1" si="19"/>
        <v>249.72312254901959</v>
      </c>
      <c r="Q44" s="13">
        <f t="shared" ca="1" si="20"/>
        <v>7.9852277150642276E-3</v>
      </c>
      <c r="R44" s="13">
        <f t="shared" ca="1" si="21"/>
        <v>54.861149019607844</v>
      </c>
      <c r="S44" s="1366">
        <f t="shared" ca="1" si="21"/>
        <v>99.889249019607846</v>
      </c>
      <c r="U44" s="13" t="str">
        <f t="shared" ca="1" si="22"/>
        <v/>
      </c>
      <c r="V44" s="13" t="str">
        <f t="shared" si="23"/>
        <v/>
      </c>
      <c r="W44" s="13" t="str">
        <f t="shared" ca="1" si="16"/>
        <v/>
      </c>
      <c r="Y44" s="13" t="str">
        <f t="shared" ca="1" si="24"/>
        <v/>
      </c>
      <c r="Z44" s="13" t="str">
        <f t="shared" ca="1" si="25"/>
        <v/>
      </c>
      <c r="AA44" s="13" t="str">
        <f t="shared" ca="1" si="17"/>
        <v/>
      </c>
    </row>
    <row r="45" spans="1:27" x14ac:dyDescent="0.25">
      <c r="A45" s="1363">
        <v>0.41</v>
      </c>
      <c r="B45" s="13">
        <f t="shared" si="4"/>
        <v>4.1000000000000002E-2</v>
      </c>
      <c r="C45" s="1364">
        <f t="shared" si="5"/>
        <v>68.900000000000006</v>
      </c>
      <c r="D45" s="1364">
        <f ca="1">B45*'Ввод исходных данных'!$G$285+C45+IF('Ввод исходных данных'!$D$159=0,7,10)</f>
        <v>289.55799999999999</v>
      </c>
      <c r="E45" s="1431" t="str">
        <f t="shared" ca="1" si="6"/>
        <v/>
      </c>
      <c r="F45" s="1364" t="str">
        <f t="shared" ca="1" si="7"/>
        <v/>
      </c>
      <c r="G45" s="1364" t="str">
        <f t="shared" ca="1" si="8"/>
        <v/>
      </c>
      <c r="H45" s="1364" t="str">
        <f t="shared" ca="1" si="9"/>
        <v/>
      </c>
      <c r="I45" s="1364" t="str">
        <f t="shared" ca="1" si="10"/>
        <v/>
      </c>
      <c r="J45" s="1364" t="str">
        <f t="shared" ca="1" si="11"/>
        <v/>
      </c>
      <c r="K45" s="1364">
        <f t="shared" ca="1" si="12"/>
        <v>289.55799999999999</v>
      </c>
      <c r="L45" s="1364" t="str">
        <f t="shared" ca="1" si="13"/>
        <v/>
      </c>
      <c r="M45" s="1364" t="str">
        <f t="shared" ca="1" si="14"/>
        <v/>
      </c>
      <c r="N45" s="13">
        <f t="shared" ca="1" si="18"/>
        <v>1.9963069287660569E-2</v>
      </c>
      <c r="O45" s="13">
        <f t="shared" ca="1" si="19"/>
        <v>137.15287254901961</v>
      </c>
      <c r="P45" s="1366">
        <f t="shared" ca="1" si="19"/>
        <v>249.72312254901959</v>
      </c>
      <c r="Q45" s="13">
        <f t="shared" ca="1" si="20"/>
        <v>7.9852277150642276E-3</v>
      </c>
      <c r="R45" s="13">
        <f t="shared" ca="1" si="21"/>
        <v>54.861149019607844</v>
      </c>
      <c r="S45" s="1366">
        <f t="shared" ca="1" si="21"/>
        <v>99.889249019607846</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3">
        <v>0.42</v>
      </c>
      <c r="B46" s="13">
        <f t="shared" si="4"/>
        <v>4.1000000000000002E-2</v>
      </c>
      <c r="C46" s="1364">
        <f t="shared" si="5"/>
        <v>68.900000000000006</v>
      </c>
      <c r="D46" s="1364">
        <f ca="1">B46*'Ввод исходных данных'!$G$285+C46+IF('Ввод исходных данных'!$D$159=0,7,10)</f>
        <v>289.55799999999999</v>
      </c>
      <c r="E46" s="1431" t="str">
        <f t="shared" ca="1" si="6"/>
        <v/>
      </c>
      <c r="F46" s="1364" t="str">
        <f t="shared" ca="1" si="7"/>
        <v/>
      </c>
      <c r="G46" s="1364" t="str">
        <f t="shared" ca="1" si="8"/>
        <v/>
      </c>
      <c r="H46" s="1364" t="str">
        <f t="shared" ca="1" si="9"/>
        <v/>
      </c>
      <c r="I46" s="1364" t="str">
        <f t="shared" ca="1" si="10"/>
        <v/>
      </c>
      <c r="J46" s="1364" t="str">
        <f t="shared" ca="1" si="11"/>
        <v/>
      </c>
      <c r="K46" s="1364">
        <f t="shared" ca="1" si="12"/>
        <v>289.55799999999999</v>
      </c>
      <c r="L46" s="1364" t="str">
        <f t="shared" ca="1" si="13"/>
        <v/>
      </c>
      <c r="M46" s="1364" t="str">
        <f t="shared" ca="1" si="14"/>
        <v/>
      </c>
      <c r="N46" s="13">
        <f t="shared" ca="1" si="18"/>
        <v>1.9963069287660569E-2</v>
      </c>
      <c r="O46" s="13">
        <f t="shared" ca="1" si="19"/>
        <v>137.15287254901961</v>
      </c>
      <c r="P46" s="1366">
        <f t="shared" ca="1" si="19"/>
        <v>249.72312254901959</v>
      </c>
      <c r="Q46" s="13">
        <f t="shared" ca="1" si="20"/>
        <v>7.9852277150642276E-3</v>
      </c>
      <c r="R46" s="13">
        <f t="shared" ca="1" si="21"/>
        <v>54.861149019607844</v>
      </c>
      <c r="S46" s="1366">
        <f t="shared" ca="1" si="21"/>
        <v>99.889249019607846</v>
      </c>
      <c r="U46" s="13" t="str">
        <f t="shared" ca="1" si="22"/>
        <v/>
      </c>
      <c r="V46" s="13" t="str">
        <f t="shared" si="23"/>
        <v/>
      </c>
      <c r="W46" s="13" t="str">
        <f t="shared" ca="1" si="16"/>
        <v/>
      </c>
      <c r="Y46" s="13" t="str">
        <f t="shared" ca="1" si="24"/>
        <v/>
      </c>
      <c r="Z46" s="13" t="str">
        <f t="shared" ca="1" si="25"/>
        <v/>
      </c>
      <c r="AA46" s="13" t="str">
        <f t="shared" ca="1" si="17"/>
        <v/>
      </c>
    </row>
    <row r="47" spans="1:27" x14ac:dyDescent="0.25">
      <c r="A47" s="1363">
        <v>0.43</v>
      </c>
      <c r="B47" s="13">
        <f t="shared" si="4"/>
        <v>4.1000000000000002E-2</v>
      </c>
      <c r="C47" s="1364">
        <f t="shared" si="5"/>
        <v>70.3</v>
      </c>
      <c r="D47" s="1364">
        <f ca="1">B47*'Ввод исходных данных'!$G$285+C47+IF('Ввод исходных данных'!$D$159=0,7,10)</f>
        <v>290.95800000000003</v>
      </c>
      <c r="E47" s="1431" t="str">
        <f t="shared" ca="1" si="6"/>
        <v/>
      </c>
      <c r="F47" s="1364" t="str">
        <f t="shared" ca="1" si="7"/>
        <v/>
      </c>
      <c r="G47" s="1364" t="str">
        <f t="shared" ca="1" si="8"/>
        <v/>
      </c>
      <c r="H47" s="1364" t="str">
        <f t="shared" ca="1" si="9"/>
        <v/>
      </c>
      <c r="I47" s="1364" t="str">
        <f t="shared" ca="1" si="10"/>
        <v/>
      </c>
      <c r="J47" s="1364" t="str">
        <f t="shared" ca="1" si="11"/>
        <v/>
      </c>
      <c r="K47" s="1364">
        <f t="shared" ca="1" si="12"/>
        <v>290.95800000000003</v>
      </c>
      <c r="L47" s="1364" t="str">
        <f t="shared" ca="1" si="13"/>
        <v/>
      </c>
      <c r="M47" s="1364" t="str">
        <f t="shared" ca="1" si="14"/>
        <v/>
      </c>
      <c r="N47" s="13">
        <f t="shared" ca="1" si="18"/>
        <v>1.9963069287660569E-2</v>
      </c>
      <c r="O47" s="13">
        <f t="shared" ca="1" si="19"/>
        <v>137.15287254901961</v>
      </c>
      <c r="P47" s="1366">
        <f t="shared" ca="1" si="19"/>
        <v>249.72312254901959</v>
      </c>
      <c r="Q47" s="13">
        <f t="shared" ca="1" si="20"/>
        <v>7.9852277150642276E-3</v>
      </c>
      <c r="R47" s="13">
        <f t="shared" ca="1" si="21"/>
        <v>54.861149019607844</v>
      </c>
      <c r="S47" s="1366">
        <f t="shared" ca="1" si="21"/>
        <v>99.889249019607846</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3">
        <v>0.44</v>
      </c>
      <c r="B48" s="13">
        <f t="shared" si="4"/>
        <v>4.1000000000000002E-2</v>
      </c>
      <c r="C48" s="1364">
        <f t="shared" si="5"/>
        <v>70.3</v>
      </c>
      <c r="D48" s="1364">
        <f ca="1">B48*'Ввод исходных данных'!$G$285+C48+IF('Ввод исходных данных'!$D$159=0,7,10)</f>
        <v>290.95800000000003</v>
      </c>
      <c r="E48" s="1431" t="str">
        <f t="shared" ca="1" si="6"/>
        <v/>
      </c>
      <c r="F48" s="1364" t="str">
        <f t="shared" ca="1" si="7"/>
        <v/>
      </c>
      <c r="G48" s="1364" t="str">
        <f t="shared" ca="1" si="8"/>
        <v/>
      </c>
      <c r="H48" s="1364" t="str">
        <f t="shared" ca="1" si="9"/>
        <v/>
      </c>
      <c r="I48" s="1364" t="str">
        <f t="shared" ca="1" si="10"/>
        <v/>
      </c>
      <c r="J48" s="1364" t="str">
        <f t="shared" ca="1" si="11"/>
        <v/>
      </c>
      <c r="K48" s="1364">
        <f t="shared" ca="1" si="12"/>
        <v>290.95800000000003</v>
      </c>
      <c r="L48" s="1364" t="str">
        <f t="shared" ca="1" si="13"/>
        <v/>
      </c>
      <c r="M48" s="1364" t="str">
        <f t="shared" ca="1" si="14"/>
        <v/>
      </c>
      <c r="N48" s="13">
        <f t="shared" ca="1" si="18"/>
        <v>1.9963069287660569E-2</v>
      </c>
      <c r="O48" s="13">
        <f t="shared" ca="1" si="19"/>
        <v>137.15287254901961</v>
      </c>
      <c r="P48" s="1366">
        <f t="shared" ca="1" si="19"/>
        <v>249.72312254901959</v>
      </c>
      <c r="Q48" s="13">
        <f t="shared" ca="1" si="20"/>
        <v>7.9852277150642276E-3</v>
      </c>
      <c r="R48" s="13">
        <f t="shared" ca="1" si="21"/>
        <v>54.861149019607844</v>
      </c>
      <c r="S48" s="1366">
        <f t="shared" ca="1" si="21"/>
        <v>99.889249019607846</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3">
        <v>0.45</v>
      </c>
      <c r="B49" s="13">
        <f t="shared" si="4"/>
        <v>4.2000000000000003E-2</v>
      </c>
      <c r="C49" s="1364">
        <f t="shared" si="5"/>
        <v>71.400000000000006</v>
      </c>
      <c r="D49" s="1364">
        <f ca="1">B49*'Ввод исходных данных'!$G$285+C49+IF('Ввод исходных данных'!$D$159=0,7,10)</f>
        <v>297.19600000000003</v>
      </c>
      <c r="E49" s="1431" t="str">
        <f t="shared" ca="1" si="6"/>
        <v/>
      </c>
      <c r="F49" s="1364" t="str">
        <f t="shared" ca="1" si="7"/>
        <v/>
      </c>
      <c r="G49" s="1364" t="str">
        <f t="shared" ca="1" si="8"/>
        <v/>
      </c>
      <c r="H49" s="1364" t="str">
        <f t="shared" ca="1" si="9"/>
        <v/>
      </c>
      <c r="I49" s="1364" t="str">
        <f t="shared" ca="1" si="10"/>
        <v/>
      </c>
      <c r="J49" s="1364" t="str">
        <f t="shared" ca="1" si="11"/>
        <v/>
      </c>
      <c r="K49" s="1364">
        <f t="shared" ca="1" si="12"/>
        <v>297.19600000000003</v>
      </c>
      <c r="L49" s="1364" t="str">
        <f t="shared" ca="1" si="13"/>
        <v/>
      </c>
      <c r="M49" s="1364" t="str">
        <f t="shared" ca="1" si="14"/>
        <v/>
      </c>
      <c r="N49" s="13">
        <f t="shared" ca="1" si="18"/>
        <v>1.9963069287660569E-2</v>
      </c>
      <c r="O49" s="13">
        <f t="shared" ca="1" si="19"/>
        <v>137.15287254901961</v>
      </c>
      <c r="P49" s="1366">
        <f t="shared" ca="1" si="19"/>
        <v>249.72312254901959</v>
      </c>
      <c r="Q49" s="13">
        <f t="shared" ca="1" si="20"/>
        <v>7.9852277150642276E-3</v>
      </c>
      <c r="R49" s="13">
        <f t="shared" ca="1" si="21"/>
        <v>54.861149019607844</v>
      </c>
      <c r="S49" s="1366">
        <f t="shared" ca="1" si="21"/>
        <v>99.889249019607846</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3">
        <v>0.46</v>
      </c>
      <c r="B50" s="13">
        <f t="shared" si="4"/>
        <v>4.2000000000000003E-2</v>
      </c>
      <c r="C50" s="1364">
        <f t="shared" si="5"/>
        <v>71.400000000000006</v>
      </c>
      <c r="D50" s="1364">
        <f ca="1">B50*'Ввод исходных данных'!$G$285+C50+IF('Ввод исходных данных'!$D$159=0,7,10)</f>
        <v>297.19600000000003</v>
      </c>
      <c r="E50" s="1431" t="str">
        <f t="shared" ca="1" si="6"/>
        <v/>
      </c>
      <c r="F50" s="1364" t="str">
        <f t="shared" ca="1" si="7"/>
        <v/>
      </c>
      <c r="G50" s="1364" t="str">
        <f t="shared" ca="1" si="8"/>
        <v/>
      </c>
      <c r="H50" s="1364" t="str">
        <f t="shared" ca="1" si="9"/>
        <v/>
      </c>
      <c r="I50" s="1364" t="str">
        <f t="shared" ca="1" si="10"/>
        <v/>
      </c>
      <c r="J50" s="1364" t="str">
        <f t="shared" ca="1" si="11"/>
        <v/>
      </c>
      <c r="K50" s="1364">
        <f t="shared" ca="1" si="12"/>
        <v>297.19600000000003</v>
      </c>
      <c r="L50" s="1364" t="str">
        <f t="shared" ca="1" si="13"/>
        <v/>
      </c>
      <c r="M50" s="1364" t="str">
        <f t="shared" ca="1" si="14"/>
        <v/>
      </c>
      <c r="N50" s="13">
        <f t="shared" ca="1" si="18"/>
        <v>1.9963069287660569E-2</v>
      </c>
      <c r="O50" s="13">
        <f t="shared" ca="1" si="19"/>
        <v>137.15287254901961</v>
      </c>
      <c r="P50" s="1366">
        <f t="shared" ca="1" si="19"/>
        <v>249.72312254901959</v>
      </c>
      <c r="Q50" s="13">
        <f t="shared" ca="1" si="20"/>
        <v>7.9852277150642276E-3</v>
      </c>
      <c r="R50" s="13">
        <f t="shared" ca="1" si="21"/>
        <v>54.861149019607844</v>
      </c>
      <c r="S50" s="1366">
        <f t="shared" ca="1" si="21"/>
        <v>99.889249019607846</v>
      </c>
      <c r="U50" s="13" t="str">
        <f t="shared" ca="1" si="22"/>
        <v/>
      </c>
      <c r="V50" s="13" t="str">
        <f t="shared" si="23"/>
        <v/>
      </c>
      <c r="W50" s="13">
        <f t="shared" ca="1" si="16"/>
        <v>297.38177264376628</v>
      </c>
      <c r="Y50" s="13" t="str">
        <f t="shared" ca="1" si="24"/>
        <v/>
      </c>
      <c r="Z50" s="13" t="str">
        <f t="shared" ca="1" si="25"/>
        <v/>
      </c>
      <c r="AA50" s="13" t="str">
        <f t="shared" ca="1" si="17"/>
        <v/>
      </c>
    </row>
    <row r="51" spans="1:27" x14ac:dyDescent="0.25">
      <c r="A51" s="1363">
        <v>0.47</v>
      </c>
      <c r="B51" s="13">
        <f t="shared" si="4"/>
        <v>4.2999999999999997E-2</v>
      </c>
      <c r="C51" s="1364">
        <f t="shared" si="5"/>
        <v>72.8</v>
      </c>
      <c r="D51" s="1364">
        <f ca="1">B51*'Ввод исходных данных'!$G$285+C51+IF('Ввод исходных данных'!$D$159=0,7,10)</f>
        <v>303.73399999999998</v>
      </c>
      <c r="E51" s="1431" t="str">
        <f t="shared" ca="1" si="6"/>
        <v/>
      </c>
      <c r="F51" s="1364" t="str">
        <f t="shared" ca="1" si="7"/>
        <v/>
      </c>
      <c r="G51" s="1364" t="str">
        <f t="shared" ca="1" si="8"/>
        <v/>
      </c>
      <c r="H51" s="1364" t="str">
        <f t="shared" ca="1" si="9"/>
        <v/>
      </c>
      <c r="I51" s="1364" t="str">
        <f t="shared" ca="1" si="10"/>
        <v/>
      </c>
      <c r="J51" s="1364" t="str">
        <f t="shared" ca="1" si="11"/>
        <v/>
      </c>
      <c r="K51" s="1364">
        <f t="shared" ca="1" si="12"/>
        <v>303.73399999999998</v>
      </c>
      <c r="L51" s="1364" t="str">
        <f t="shared" ca="1" si="13"/>
        <v/>
      </c>
      <c r="M51" s="1364" t="str">
        <f t="shared" ca="1" si="14"/>
        <v/>
      </c>
      <c r="N51" s="13">
        <f t="shared" ca="1" si="18"/>
        <v>1.9963069287660569E-2</v>
      </c>
      <c r="O51" s="13">
        <f t="shared" ca="1" si="19"/>
        <v>137.15287254901961</v>
      </c>
      <c r="P51" s="1366">
        <f t="shared" ca="1" si="19"/>
        <v>249.72312254901959</v>
      </c>
      <c r="Q51" s="13">
        <f t="shared" ca="1" si="20"/>
        <v>7.9852277150642276E-3</v>
      </c>
      <c r="R51" s="13">
        <f t="shared" ca="1" si="21"/>
        <v>54.861149019607844</v>
      </c>
      <c r="S51" s="1366">
        <f t="shared" ca="1" si="21"/>
        <v>99.889249019607846</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3">
        <v>0.48</v>
      </c>
      <c r="B52" s="13">
        <f t="shared" si="4"/>
        <v>4.2999999999999997E-2</v>
      </c>
      <c r="C52" s="1364">
        <f t="shared" si="5"/>
        <v>72.8</v>
      </c>
      <c r="D52" s="1364">
        <f ca="1">B52*'Ввод исходных данных'!$G$285+C52+IF('Ввод исходных данных'!$D$159=0,7,10)</f>
        <v>303.73399999999998</v>
      </c>
      <c r="E52" s="1431" t="str">
        <f t="shared" ca="1" si="6"/>
        <v/>
      </c>
      <c r="F52" s="1364" t="str">
        <f t="shared" ca="1" si="7"/>
        <v/>
      </c>
      <c r="G52" s="1364" t="str">
        <f t="shared" ca="1" si="8"/>
        <v/>
      </c>
      <c r="H52" s="1364" t="str">
        <f t="shared" ca="1" si="9"/>
        <v/>
      </c>
      <c r="I52" s="1364" t="str">
        <f t="shared" ca="1" si="10"/>
        <v/>
      </c>
      <c r="J52" s="1364" t="str">
        <f t="shared" ca="1" si="11"/>
        <v/>
      </c>
      <c r="K52" s="1364">
        <f t="shared" ca="1" si="12"/>
        <v>303.73399999999998</v>
      </c>
      <c r="L52" s="1364" t="str">
        <f t="shared" ca="1" si="13"/>
        <v/>
      </c>
      <c r="M52" s="1364" t="str">
        <f t="shared" ca="1" si="14"/>
        <v/>
      </c>
      <c r="N52" s="13">
        <f t="shared" ca="1" si="18"/>
        <v>1.9963069287660569E-2</v>
      </c>
      <c r="O52" s="13">
        <f t="shared" ca="1" si="19"/>
        <v>137.15287254901961</v>
      </c>
      <c r="P52" s="1366">
        <f t="shared" ca="1" si="19"/>
        <v>249.72312254901959</v>
      </c>
      <c r="Q52" s="13">
        <f t="shared" ca="1" si="20"/>
        <v>7.9852277150642276E-3</v>
      </c>
      <c r="R52" s="13">
        <f t="shared" ca="1" si="21"/>
        <v>54.861149019607844</v>
      </c>
      <c r="S52" s="1366">
        <f t="shared" ca="1" si="21"/>
        <v>99.889249019607846</v>
      </c>
      <c r="U52" s="13" t="str">
        <f t="shared" ca="1" si="22"/>
        <v/>
      </c>
      <c r="V52" s="13" t="str">
        <f t="shared" si="23"/>
        <v/>
      </c>
      <c r="W52" s="13" t="str">
        <f t="shared" ca="1" si="16"/>
        <v/>
      </c>
      <c r="Y52" s="13" t="str">
        <f t="shared" ca="1" si="24"/>
        <v/>
      </c>
      <c r="Z52" s="13" t="str">
        <f t="shared" ca="1" si="25"/>
        <v/>
      </c>
      <c r="AA52" s="13" t="str">
        <f t="shared" ca="1" si="17"/>
        <v/>
      </c>
    </row>
    <row r="53" spans="1:27" x14ac:dyDescent="0.25">
      <c r="A53" s="1363">
        <v>0.49</v>
      </c>
      <c r="B53" s="13">
        <f t="shared" si="4"/>
        <v>4.2999999999999997E-2</v>
      </c>
      <c r="C53" s="1364">
        <f t="shared" si="5"/>
        <v>74.3</v>
      </c>
      <c r="D53" s="1364">
        <f ca="1">B53*'Ввод исходных данных'!$G$285+C53+IF('Ввод исходных данных'!$D$159=0,7,10)</f>
        <v>305.23399999999998</v>
      </c>
      <c r="E53" s="1431" t="str">
        <f t="shared" ca="1" si="6"/>
        <v/>
      </c>
      <c r="F53" s="1364" t="str">
        <f t="shared" ca="1" si="7"/>
        <v/>
      </c>
      <c r="G53" s="1364" t="str">
        <f t="shared" ca="1" si="8"/>
        <v/>
      </c>
      <c r="H53" s="1364" t="str">
        <f t="shared" ca="1" si="9"/>
        <v/>
      </c>
      <c r="I53" s="1364" t="str">
        <f t="shared" ca="1" si="10"/>
        <v/>
      </c>
      <c r="J53" s="1364" t="str">
        <f t="shared" ca="1" si="11"/>
        <v/>
      </c>
      <c r="K53" s="1364">
        <f t="shared" ca="1" si="12"/>
        <v>305.23399999999998</v>
      </c>
      <c r="L53" s="1364" t="str">
        <f t="shared" ca="1" si="13"/>
        <v/>
      </c>
      <c r="M53" s="1364" t="str">
        <f t="shared" ca="1" si="14"/>
        <v/>
      </c>
      <c r="N53" s="13">
        <f t="shared" ca="1" si="18"/>
        <v>1.9963069287660569E-2</v>
      </c>
      <c r="O53" s="13">
        <f t="shared" ca="1" si="19"/>
        <v>137.15287254901961</v>
      </c>
      <c r="P53" s="1366">
        <f t="shared" ca="1" si="19"/>
        <v>249.72312254901959</v>
      </c>
      <c r="Q53" s="13">
        <f t="shared" ca="1" si="20"/>
        <v>7.9852277150642276E-3</v>
      </c>
      <c r="R53" s="13">
        <f t="shared" ca="1" si="21"/>
        <v>54.861149019607844</v>
      </c>
      <c r="S53" s="1366">
        <f t="shared" ca="1" si="21"/>
        <v>99.889249019607846</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3">
        <v>0.5</v>
      </c>
      <c r="B54" s="13">
        <f t="shared" si="4"/>
        <v>4.2999999999999997E-2</v>
      </c>
      <c r="C54" s="1364">
        <f t="shared" si="5"/>
        <v>74.3</v>
      </c>
      <c r="D54" s="1364">
        <f ca="1">B54*'Ввод исходных данных'!$G$285+C54+IF('Ввод исходных данных'!$D$159=0,7,10)</f>
        <v>305.23399999999998</v>
      </c>
      <c r="E54" s="1431" t="str">
        <f t="shared" ca="1" si="6"/>
        <v/>
      </c>
      <c r="F54" s="1364" t="str">
        <f t="shared" ca="1" si="7"/>
        <v/>
      </c>
      <c r="G54" s="1364" t="str">
        <f t="shared" ca="1" si="8"/>
        <v/>
      </c>
      <c r="H54" s="1364" t="str">
        <f t="shared" ca="1" si="9"/>
        <v/>
      </c>
      <c r="I54" s="1364" t="str">
        <f t="shared" ca="1" si="10"/>
        <v/>
      </c>
      <c r="J54" s="1364" t="str">
        <f t="shared" ca="1" si="11"/>
        <v/>
      </c>
      <c r="K54" s="1364">
        <f t="shared" ca="1" si="12"/>
        <v>305.23399999999998</v>
      </c>
      <c r="L54" s="1364" t="str">
        <f t="shared" ca="1" si="13"/>
        <v/>
      </c>
      <c r="M54" s="1364" t="str">
        <f t="shared" ca="1" si="14"/>
        <v/>
      </c>
      <c r="N54" s="13">
        <f t="shared" ca="1" si="18"/>
        <v>1.9963069287660569E-2</v>
      </c>
      <c r="O54" s="13">
        <f t="shared" ca="1" si="19"/>
        <v>137.15287254901961</v>
      </c>
      <c r="P54" s="1366">
        <f t="shared" ca="1" si="19"/>
        <v>249.72312254901959</v>
      </c>
      <c r="Q54" s="13">
        <f t="shared" ca="1" si="20"/>
        <v>7.9852277150642276E-3</v>
      </c>
      <c r="R54" s="13">
        <f t="shared" ca="1" si="21"/>
        <v>54.861149019607844</v>
      </c>
      <c r="S54" s="1366">
        <f t="shared" ca="1" si="21"/>
        <v>99.889249019607846</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3">
        <v>0.51</v>
      </c>
      <c r="B55" s="13">
        <f t="shared" si="4"/>
        <v>4.3999999999999997E-2</v>
      </c>
      <c r="C55" s="1364">
        <f t="shared" si="5"/>
        <v>75.2</v>
      </c>
      <c r="D55" s="1364">
        <f ca="1">B55*'Ввод исходных данных'!$G$285+C55+IF('Ввод исходных данных'!$D$159=0,7,10)</f>
        <v>311.27199999999999</v>
      </c>
      <c r="E55" s="1431" t="str">
        <f t="shared" ca="1" si="6"/>
        <v/>
      </c>
      <c r="F55" s="1364" t="str">
        <f t="shared" ca="1" si="7"/>
        <v/>
      </c>
      <c r="G55" s="1364" t="str">
        <f t="shared" ca="1" si="8"/>
        <v/>
      </c>
      <c r="H55" s="1364" t="str">
        <f t="shared" ca="1" si="9"/>
        <v/>
      </c>
      <c r="I55" s="1364" t="str">
        <f t="shared" ca="1" si="10"/>
        <v/>
      </c>
      <c r="J55" s="1364" t="str">
        <f t="shared" ca="1" si="11"/>
        <v/>
      </c>
      <c r="K55" s="1364">
        <f t="shared" ca="1" si="12"/>
        <v>311.27199999999999</v>
      </c>
      <c r="L55" s="1364" t="str">
        <f t="shared" ca="1" si="13"/>
        <v/>
      </c>
      <c r="M55" s="1364" t="str">
        <f t="shared" ca="1" si="14"/>
        <v/>
      </c>
      <c r="N55" s="13">
        <f t="shared" ca="1" si="18"/>
        <v>1.9963069287660569E-2</v>
      </c>
      <c r="O55" s="13">
        <f t="shared" ca="1" si="19"/>
        <v>137.15287254901961</v>
      </c>
      <c r="P55" s="1366">
        <f t="shared" ca="1" si="19"/>
        <v>249.72312254901959</v>
      </c>
      <c r="Q55" s="13">
        <f t="shared" ca="1" si="20"/>
        <v>7.9852277150642276E-3</v>
      </c>
      <c r="R55" s="13">
        <f t="shared" ca="1" si="21"/>
        <v>54.861149019607844</v>
      </c>
      <c r="S55" s="1366">
        <f t="shared" ca="1" si="21"/>
        <v>99.889249019607846</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3">
        <v>0.52</v>
      </c>
      <c r="B56" s="13">
        <f t="shared" si="4"/>
        <v>4.3999999999999997E-2</v>
      </c>
      <c r="C56" s="1364">
        <f t="shared" si="5"/>
        <v>75.2</v>
      </c>
      <c r="D56" s="1364">
        <f ca="1">B56*'Ввод исходных данных'!$G$285+C56+IF('Ввод исходных данных'!$D$159=0,7,10)</f>
        <v>311.27199999999999</v>
      </c>
      <c r="E56" s="1431" t="str">
        <f t="shared" ca="1" si="6"/>
        <v/>
      </c>
      <c r="F56" s="1364" t="str">
        <f t="shared" ca="1" si="7"/>
        <v/>
      </c>
      <c r="G56" s="1364" t="str">
        <f t="shared" ca="1" si="8"/>
        <v/>
      </c>
      <c r="H56" s="1364" t="str">
        <f t="shared" ca="1" si="9"/>
        <v/>
      </c>
      <c r="I56" s="1364" t="str">
        <f t="shared" ca="1" si="10"/>
        <v/>
      </c>
      <c r="J56" s="1364" t="str">
        <f t="shared" ca="1" si="11"/>
        <v/>
      </c>
      <c r="K56" s="1364">
        <f t="shared" ca="1" si="12"/>
        <v>311.27199999999999</v>
      </c>
      <c r="L56" s="1364" t="str">
        <f t="shared" ca="1" si="13"/>
        <v/>
      </c>
      <c r="M56" s="1364" t="str">
        <f t="shared" ca="1" si="14"/>
        <v/>
      </c>
      <c r="N56" s="13">
        <f t="shared" ca="1" si="18"/>
        <v>1.9963069287660569E-2</v>
      </c>
      <c r="O56" s="13">
        <f t="shared" ca="1" si="19"/>
        <v>137.15287254901961</v>
      </c>
      <c r="P56" s="1366">
        <f t="shared" ca="1" si="19"/>
        <v>249.72312254901959</v>
      </c>
      <c r="Q56" s="13">
        <f t="shared" ca="1" si="20"/>
        <v>7.9852277150642276E-3</v>
      </c>
      <c r="R56" s="13">
        <f t="shared" ca="1" si="21"/>
        <v>54.861149019607844</v>
      </c>
      <c r="S56" s="1366">
        <f t="shared" ca="1" si="21"/>
        <v>99.889249019607846</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3">
        <v>0.53</v>
      </c>
      <c r="B57" s="13">
        <f t="shared" si="4"/>
        <v>4.4999999999999998E-2</v>
      </c>
      <c r="C57" s="1364">
        <f t="shared" si="5"/>
        <v>76.400000000000006</v>
      </c>
      <c r="D57" s="1364">
        <f ca="1">B57*'Ввод исходных данных'!$G$285+C57+IF('Ввод исходных данных'!$D$159=0,7,10)</f>
        <v>317.61</v>
      </c>
      <c r="E57" s="1431" t="str">
        <f t="shared" ca="1" si="6"/>
        <v/>
      </c>
      <c r="F57" s="1364" t="str">
        <f t="shared" ca="1" si="7"/>
        <v/>
      </c>
      <c r="G57" s="1364" t="str">
        <f t="shared" ca="1" si="8"/>
        <v/>
      </c>
      <c r="H57" s="1364" t="str">
        <f t="shared" ca="1" si="9"/>
        <v/>
      </c>
      <c r="I57" s="1364" t="str">
        <f t="shared" ca="1" si="10"/>
        <v/>
      </c>
      <c r="J57" s="1364" t="str">
        <f t="shared" ca="1" si="11"/>
        <v/>
      </c>
      <c r="K57" s="1364" t="str">
        <f t="shared" ca="1" si="12"/>
        <v/>
      </c>
      <c r="L57" s="1364">
        <f t="shared" ca="1" si="13"/>
        <v>317.61</v>
      </c>
      <c r="M57" s="1364" t="str">
        <f t="shared" ca="1" si="14"/>
        <v/>
      </c>
      <c r="N57" s="13">
        <f t="shared" ca="1" si="18"/>
        <v>1.9963069287660569E-2</v>
      </c>
      <c r="O57" s="13">
        <f t="shared" ca="1" si="19"/>
        <v>137.15287254901961</v>
      </c>
      <c r="P57" s="1366">
        <f t="shared" ca="1" si="19"/>
        <v>249.72312254901959</v>
      </c>
      <c r="Q57" s="13">
        <f t="shared" ca="1" si="20"/>
        <v>7.9852277150642276E-3</v>
      </c>
      <c r="R57" s="13">
        <f t="shared" ca="1" si="21"/>
        <v>54.861149019607844</v>
      </c>
      <c r="S57" s="1366">
        <f t="shared" ca="1" si="21"/>
        <v>99.889249019607846</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3">
        <v>0.54</v>
      </c>
      <c r="B58" s="13">
        <f t="shared" si="4"/>
        <v>4.4999999999999998E-2</v>
      </c>
      <c r="C58" s="1364">
        <f t="shared" si="5"/>
        <v>76.400000000000006</v>
      </c>
      <c r="D58" s="1364">
        <f ca="1">B58*'Ввод исходных данных'!$G$285+C58+IF('Ввод исходных данных'!$D$159=0,7,10)</f>
        <v>317.61</v>
      </c>
      <c r="E58" s="1431" t="str">
        <f t="shared" ca="1" si="6"/>
        <v/>
      </c>
      <c r="F58" s="1364" t="str">
        <f t="shared" ca="1" si="7"/>
        <v/>
      </c>
      <c r="G58" s="1364" t="str">
        <f t="shared" ca="1" si="8"/>
        <v/>
      </c>
      <c r="H58" s="1364" t="str">
        <f t="shared" ca="1" si="9"/>
        <v/>
      </c>
      <c r="I58" s="1364" t="str">
        <f t="shared" ca="1" si="10"/>
        <v/>
      </c>
      <c r="J58" s="1364" t="str">
        <f t="shared" ca="1" si="11"/>
        <v/>
      </c>
      <c r="K58" s="1364" t="str">
        <f t="shared" ca="1" si="12"/>
        <v/>
      </c>
      <c r="L58" s="1364">
        <f t="shared" ca="1" si="13"/>
        <v>317.61</v>
      </c>
      <c r="M58" s="1364" t="str">
        <f t="shared" ca="1" si="14"/>
        <v/>
      </c>
      <c r="N58" s="13">
        <f t="shared" ca="1" si="18"/>
        <v>1.9963069287660569E-2</v>
      </c>
      <c r="O58" s="13">
        <f t="shared" ca="1" si="19"/>
        <v>137.15287254901961</v>
      </c>
      <c r="P58" s="1366">
        <f t="shared" ca="1" si="19"/>
        <v>249.72312254901959</v>
      </c>
      <c r="Q58" s="13">
        <f t="shared" ca="1" si="20"/>
        <v>7.9852277150642276E-3</v>
      </c>
      <c r="R58" s="13">
        <f t="shared" ca="1" si="21"/>
        <v>54.861149019607844</v>
      </c>
      <c r="S58" s="1366">
        <f t="shared" ca="1" si="21"/>
        <v>99.889249019607846</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3">
        <v>0.55000000000000004</v>
      </c>
      <c r="B59" s="13">
        <f t="shared" si="4"/>
        <v>4.4999999999999998E-2</v>
      </c>
      <c r="C59" s="1364">
        <f t="shared" si="5"/>
        <v>78.5</v>
      </c>
      <c r="D59" s="1364">
        <f ca="1">B59*'Ввод исходных данных'!$G$285+C59+IF('Ввод исходных данных'!$D$159=0,7,10)</f>
        <v>319.70999999999998</v>
      </c>
      <c r="E59" s="1431" t="str">
        <f t="shared" ca="1" si="6"/>
        <v/>
      </c>
      <c r="F59" s="1364" t="str">
        <f t="shared" ca="1" si="7"/>
        <v/>
      </c>
      <c r="G59" s="1364" t="str">
        <f t="shared" ca="1" si="8"/>
        <v/>
      </c>
      <c r="H59" s="1364" t="str">
        <f t="shared" ca="1" si="9"/>
        <v/>
      </c>
      <c r="I59" s="1364" t="str">
        <f t="shared" ca="1" si="10"/>
        <v/>
      </c>
      <c r="J59" s="1364" t="str">
        <f t="shared" ca="1" si="11"/>
        <v/>
      </c>
      <c r="K59" s="1364" t="str">
        <f t="shared" ca="1" si="12"/>
        <v/>
      </c>
      <c r="L59" s="1364">
        <f t="shared" ca="1" si="13"/>
        <v>319.70999999999998</v>
      </c>
      <c r="M59" s="1364" t="str">
        <f t="shared" ca="1" si="14"/>
        <v/>
      </c>
      <c r="N59" s="13">
        <f t="shared" ca="1" si="18"/>
        <v>1.9963069287660569E-2</v>
      </c>
      <c r="O59" s="13">
        <f t="shared" ca="1" si="19"/>
        <v>137.15287254901961</v>
      </c>
      <c r="P59" s="1366">
        <f t="shared" ca="1" si="19"/>
        <v>249.72312254901959</v>
      </c>
      <c r="Q59" s="13">
        <f t="shared" ca="1" si="20"/>
        <v>7.9852277150642276E-3</v>
      </c>
      <c r="R59" s="13">
        <f t="shared" ca="1" si="21"/>
        <v>54.861149019607844</v>
      </c>
      <c r="S59" s="1366">
        <f t="shared" ca="1" si="21"/>
        <v>99.889249019607846</v>
      </c>
      <c r="U59" s="13" t="str">
        <f t="shared" ca="1" si="22"/>
        <v/>
      </c>
      <c r="V59" s="13" t="str">
        <f t="shared" si="23"/>
        <v/>
      </c>
      <c r="W59" s="13" t="str">
        <f t="shared" ca="1" si="16"/>
        <v/>
      </c>
      <c r="Y59" s="13" t="str">
        <f t="shared" ca="1" si="24"/>
        <v/>
      </c>
      <c r="Z59" s="13" t="str">
        <f t="shared" ca="1" si="25"/>
        <v/>
      </c>
      <c r="AA59" s="13" t="str">
        <f t="shared" ca="1" si="17"/>
        <v/>
      </c>
    </row>
    <row r="60" spans="1:27" x14ac:dyDescent="0.25">
      <c r="A60" s="1363">
        <v>0.56000000000000005</v>
      </c>
      <c r="B60" s="13">
        <f t="shared" si="4"/>
        <v>4.4999999999999998E-2</v>
      </c>
      <c r="C60" s="1364">
        <f t="shared" si="5"/>
        <v>78.5</v>
      </c>
      <c r="D60" s="1364">
        <f ca="1">B60*'Ввод исходных данных'!$G$285+C60+IF('Ввод исходных данных'!$D$159=0,7,10)</f>
        <v>319.70999999999998</v>
      </c>
      <c r="E60" s="1431" t="str">
        <f t="shared" ca="1" si="6"/>
        <v/>
      </c>
      <c r="F60" s="1364" t="str">
        <f t="shared" ca="1" si="7"/>
        <v/>
      </c>
      <c r="G60" s="1364" t="str">
        <f t="shared" ca="1" si="8"/>
        <v/>
      </c>
      <c r="H60" s="1364" t="str">
        <f t="shared" ca="1" si="9"/>
        <v/>
      </c>
      <c r="I60" s="1364" t="str">
        <f t="shared" ca="1" si="10"/>
        <v/>
      </c>
      <c r="J60" s="1364" t="str">
        <f t="shared" ca="1" si="11"/>
        <v/>
      </c>
      <c r="K60" s="1364" t="str">
        <f t="shared" ca="1" si="12"/>
        <v/>
      </c>
      <c r="L60" s="1364">
        <f t="shared" ca="1" si="13"/>
        <v>319.70999999999998</v>
      </c>
      <c r="M60" s="1364" t="str">
        <f t="shared" ca="1" si="14"/>
        <v/>
      </c>
      <c r="N60" s="13">
        <f t="shared" ca="1" si="18"/>
        <v>1.9963069287660569E-2</v>
      </c>
      <c r="O60" s="13">
        <f t="shared" ca="1" si="19"/>
        <v>137.15287254901961</v>
      </c>
      <c r="P60" s="1366">
        <f t="shared" ca="1" si="19"/>
        <v>249.72312254901959</v>
      </c>
      <c r="Q60" s="13">
        <f t="shared" ca="1" si="20"/>
        <v>7.9852277150642276E-3</v>
      </c>
      <c r="R60" s="13">
        <f t="shared" ca="1" si="21"/>
        <v>54.861149019607844</v>
      </c>
      <c r="S60" s="1366">
        <f t="shared" ca="1" si="21"/>
        <v>99.889249019607846</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3">
        <v>0.56999999999999995</v>
      </c>
      <c r="B61" s="13">
        <f t="shared" si="4"/>
        <v>4.5999999999999999E-2</v>
      </c>
      <c r="C61" s="1364">
        <f t="shared" si="5"/>
        <v>80.599999999999994</v>
      </c>
      <c r="D61" s="1364">
        <f ca="1">B61*'Ввод исходных данных'!$G$285+C61+IF('Ввод исходных данных'!$D$159=0,7,10)</f>
        <v>326.94799999999998</v>
      </c>
      <c r="E61" s="1431" t="str">
        <f t="shared" ca="1" si="6"/>
        <v/>
      </c>
      <c r="F61" s="1364" t="str">
        <f t="shared" ca="1" si="7"/>
        <v/>
      </c>
      <c r="G61" s="1364" t="str">
        <f t="shared" ca="1" si="8"/>
        <v/>
      </c>
      <c r="H61" s="1364" t="str">
        <f t="shared" ca="1" si="9"/>
        <v/>
      </c>
      <c r="I61" s="1364" t="str">
        <f t="shared" ca="1" si="10"/>
        <v/>
      </c>
      <c r="J61" s="1364" t="str">
        <f t="shared" ca="1" si="11"/>
        <v/>
      </c>
      <c r="K61" s="1364" t="str">
        <f t="shared" ca="1" si="12"/>
        <v/>
      </c>
      <c r="L61" s="1364">
        <f t="shared" ca="1" si="13"/>
        <v>326.94799999999998</v>
      </c>
      <c r="M61" s="1364" t="str">
        <f t="shared" ca="1" si="14"/>
        <v/>
      </c>
      <c r="N61" s="13">
        <f t="shared" ca="1" si="18"/>
        <v>1.9963069287660569E-2</v>
      </c>
      <c r="O61" s="13">
        <f t="shared" ca="1" si="19"/>
        <v>137.15287254901961</v>
      </c>
      <c r="P61" s="1366">
        <f t="shared" ca="1" si="19"/>
        <v>249.72312254901959</v>
      </c>
      <c r="Q61" s="13">
        <f t="shared" ca="1" si="20"/>
        <v>7.9852277150642276E-3</v>
      </c>
      <c r="R61" s="13">
        <f t="shared" ca="1" si="21"/>
        <v>54.861149019607844</v>
      </c>
      <c r="S61" s="1366">
        <f t="shared" ca="1" si="21"/>
        <v>99.889249019607846</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3">
        <v>0.57999999999999996</v>
      </c>
      <c r="B62" s="13">
        <f t="shared" si="4"/>
        <v>4.5999999999999999E-2</v>
      </c>
      <c r="C62" s="1364">
        <f t="shared" si="5"/>
        <v>80.599999999999994</v>
      </c>
      <c r="D62" s="1364">
        <f ca="1">B62*'Ввод исходных данных'!$G$285+C62+IF('Ввод исходных данных'!$D$159=0,7,10)</f>
        <v>326.94799999999998</v>
      </c>
      <c r="E62" s="1431" t="str">
        <f t="shared" ca="1" si="6"/>
        <v/>
      </c>
      <c r="F62" s="1364" t="str">
        <f t="shared" ca="1" si="7"/>
        <v/>
      </c>
      <c r="G62" s="1364" t="str">
        <f t="shared" ca="1" si="8"/>
        <v/>
      </c>
      <c r="H62" s="1364" t="str">
        <f t="shared" ca="1" si="9"/>
        <v/>
      </c>
      <c r="I62" s="1364" t="str">
        <f t="shared" ca="1" si="10"/>
        <v/>
      </c>
      <c r="J62" s="1364" t="str">
        <f t="shared" ca="1" si="11"/>
        <v/>
      </c>
      <c r="K62" s="1364" t="str">
        <f t="shared" ca="1" si="12"/>
        <v/>
      </c>
      <c r="L62" s="1364">
        <f t="shared" ca="1" si="13"/>
        <v>326.94799999999998</v>
      </c>
      <c r="M62" s="1364" t="str">
        <f t="shared" ca="1" si="14"/>
        <v/>
      </c>
      <c r="N62" s="13">
        <f t="shared" ca="1" si="18"/>
        <v>1.9963069287660569E-2</v>
      </c>
      <c r="O62" s="13">
        <f t="shared" ca="1" si="19"/>
        <v>137.15287254901961</v>
      </c>
      <c r="P62" s="1366">
        <f t="shared" ca="1" si="19"/>
        <v>249.72312254901959</v>
      </c>
      <c r="Q62" s="13">
        <f t="shared" ca="1" si="20"/>
        <v>7.9852277150642276E-3</v>
      </c>
      <c r="R62" s="13">
        <f t="shared" ca="1" si="21"/>
        <v>54.861149019607844</v>
      </c>
      <c r="S62" s="1366">
        <f t="shared" ca="1" si="21"/>
        <v>99.889249019607846</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3">
        <v>0.59</v>
      </c>
      <c r="B63" s="13">
        <f t="shared" si="4"/>
        <v>4.7E-2</v>
      </c>
      <c r="C63" s="1364">
        <f t="shared" si="5"/>
        <v>83</v>
      </c>
      <c r="D63" s="1364">
        <f ca="1">B63*'Ввод исходных данных'!$G$285+C63+IF('Ввод исходных данных'!$D$159=0,7,10)</f>
        <v>334.48599999999999</v>
      </c>
      <c r="E63" s="1431" t="str">
        <f t="shared" ca="1" si="6"/>
        <v/>
      </c>
      <c r="F63" s="1364" t="str">
        <f t="shared" ca="1" si="7"/>
        <v/>
      </c>
      <c r="G63" s="1364" t="str">
        <f t="shared" ca="1" si="8"/>
        <v/>
      </c>
      <c r="H63" s="1364" t="str">
        <f t="shared" ca="1" si="9"/>
        <v/>
      </c>
      <c r="I63" s="1364" t="str">
        <f t="shared" ca="1" si="10"/>
        <v/>
      </c>
      <c r="J63" s="1364" t="str">
        <f t="shared" ca="1" si="11"/>
        <v/>
      </c>
      <c r="K63" s="1364" t="str">
        <f t="shared" ca="1" si="12"/>
        <v/>
      </c>
      <c r="L63" s="1364">
        <f t="shared" ca="1" si="13"/>
        <v>334.48599999999999</v>
      </c>
      <c r="M63" s="1364" t="str">
        <f t="shared" ca="1" si="14"/>
        <v/>
      </c>
      <c r="N63" s="13">
        <f t="shared" ca="1" si="18"/>
        <v>1.9963069287660569E-2</v>
      </c>
      <c r="O63" s="13">
        <f t="shared" ca="1" si="19"/>
        <v>137.15287254901961</v>
      </c>
      <c r="P63" s="1366">
        <f t="shared" ca="1" si="19"/>
        <v>249.72312254901959</v>
      </c>
      <c r="Q63" s="13">
        <f t="shared" ca="1" si="20"/>
        <v>7.9852277150642276E-3</v>
      </c>
      <c r="R63" s="13">
        <f t="shared" ca="1" si="21"/>
        <v>54.861149019607844</v>
      </c>
      <c r="S63" s="1366">
        <f t="shared" ca="1" si="21"/>
        <v>99.889249019607846</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3">
        <v>0.6</v>
      </c>
      <c r="B64" s="13">
        <f t="shared" si="4"/>
        <v>4.7E-2</v>
      </c>
      <c r="C64" s="1364">
        <f t="shared" si="5"/>
        <v>83</v>
      </c>
      <c r="D64" s="1364">
        <f ca="1">B64*'Ввод исходных данных'!$G$285+C64+IF('Ввод исходных данных'!$D$159=0,7,10)</f>
        <v>334.48599999999999</v>
      </c>
      <c r="E64" s="1431" t="str">
        <f t="shared" ca="1" si="6"/>
        <v/>
      </c>
      <c r="F64" s="1364" t="str">
        <f t="shared" ca="1" si="7"/>
        <v/>
      </c>
      <c r="G64" s="1364" t="str">
        <f t="shared" ca="1" si="8"/>
        <v/>
      </c>
      <c r="H64" s="1364" t="str">
        <f t="shared" ca="1" si="9"/>
        <v/>
      </c>
      <c r="I64" s="1364" t="str">
        <f t="shared" ca="1" si="10"/>
        <v/>
      </c>
      <c r="J64" s="1364" t="str">
        <f t="shared" ca="1" si="11"/>
        <v/>
      </c>
      <c r="K64" s="1364" t="str">
        <f t="shared" ca="1" si="12"/>
        <v/>
      </c>
      <c r="L64" s="1364">
        <f t="shared" ca="1" si="13"/>
        <v>334.48599999999999</v>
      </c>
      <c r="M64" s="1364" t="str">
        <f t="shared" ca="1" si="14"/>
        <v/>
      </c>
      <c r="N64" s="13">
        <f t="shared" ca="1" si="18"/>
        <v>1.9963069287660569E-2</v>
      </c>
      <c r="O64" s="13">
        <f t="shared" ca="1" si="19"/>
        <v>137.15287254901961</v>
      </c>
      <c r="P64" s="1366">
        <f t="shared" ca="1" si="19"/>
        <v>249.72312254901959</v>
      </c>
      <c r="Q64" s="13">
        <f t="shared" ca="1" si="20"/>
        <v>7.9852277150642276E-3</v>
      </c>
      <c r="R64" s="13">
        <f t="shared" ca="1" si="21"/>
        <v>54.861149019607844</v>
      </c>
      <c r="S64" s="1366">
        <f t="shared" ca="1" si="21"/>
        <v>99.889249019607846</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3">
        <v>0.61</v>
      </c>
      <c r="B65" s="13">
        <f t="shared" si="4"/>
        <v>4.7E-2</v>
      </c>
      <c r="C65" s="1364">
        <f t="shared" si="5"/>
        <v>84.9</v>
      </c>
      <c r="D65" s="1364">
        <f ca="1">B65*'Ввод исходных данных'!$G$285+C65+IF('Ввод исходных данных'!$D$159=0,7,10)</f>
        <v>336.38599999999997</v>
      </c>
      <c r="E65" s="1431" t="str">
        <f t="shared" ca="1" si="6"/>
        <v/>
      </c>
      <c r="F65" s="1364" t="str">
        <f t="shared" ca="1" si="7"/>
        <v/>
      </c>
      <c r="G65" s="1364" t="str">
        <f t="shared" ca="1" si="8"/>
        <v/>
      </c>
      <c r="H65" s="1364" t="str">
        <f t="shared" ca="1" si="9"/>
        <v/>
      </c>
      <c r="I65" s="1364" t="str">
        <f t="shared" ca="1" si="10"/>
        <v/>
      </c>
      <c r="J65" s="1364" t="str">
        <f t="shared" ca="1" si="11"/>
        <v/>
      </c>
      <c r="K65" s="1364" t="str">
        <f t="shared" ca="1" si="12"/>
        <v/>
      </c>
      <c r="L65" s="1364">
        <f t="shared" ca="1" si="13"/>
        <v>336.38599999999997</v>
      </c>
      <c r="M65" s="1364" t="str">
        <f t="shared" ca="1" si="14"/>
        <v/>
      </c>
      <c r="N65" s="13">
        <f t="shared" ca="1" si="18"/>
        <v>1.9963069287660569E-2</v>
      </c>
      <c r="O65" s="13">
        <f t="shared" ca="1" si="19"/>
        <v>137.15287254901961</v>
      </c>
      <c r="P65" s="1366">
        <f t="shared" ca="1" si="19"/>
        <v>249.72312254901959</v>
      </c>
      <c r="Q65" s="13">
        <f t="shared" ca="1" si="20"/>
        <v>7.9852277150642276E-3</v>
      </c>
      <c r="R65" s="13">
        <f t="shared" ca="1" si="21"/>
        <v>54.861149019607844</v>
      </c>
      <c r="S65" s="1366">
        <f t="shared" ca="1" si="21"/>
        <v>99.889249019607846</v>
      </c>
      <c r="U65" s="13" t="str">
        <f t="shared" ca="1" si="22"/>
        <v/>
      </c>
      <c r="V65" s="13" t="str">
        <f t="shared" si="23"/>
        <v/>
      </c>
      <c r="W65" s="13" t="str">
        <f t="shared" ca="1" si="16"/>
        <v/>
      </c>
      <c r="Y65" s="13" t="str">
        <f t="shared" ca="1" si="24"/>
        <v/>
      </c>
      <c r="Z65" s="13" t="str">
        <f t="shared" ca="1" si="25"/>
        <v/>
      </c>
      <c r="AA65" s="13" t="str">
        <f t="shared" ca="1" si="17"/>
        <v/>
      </c>
    </row>
    <row r="66" spans="1:27" x14ac:dyDescent="0.25">
      <c r="A66" s="1363">
        <v>0.62</v>
      </c>
      <c r="B66" s="13">
        <f t="shared" si="4"/>
        <v>4.7E-2</v>
      </c>
      <c r="C66" s="1364">
        <f t="shared" si="5"/>
        <v>84.9</v>
      </c>
      <c r="D66" s="1364">
        <f ca="1">B66*'Ввод исходных данных'!$G$285+C66+IF('Ввод исходных данных'!$D$159=0,7,10)</f>
        <v>336.38599999999997</v>
      </c>
      <c r="E66" s="1431" t="str">
        <f t="shared" ca="1" si="6"/>
        <v/>
      </c>
      <c r="F66" s="1364" t="str">
        <f t="shared" ca="1" si="7"/>
        <v/>
      </c>
      <c r="G66" s="1364" t="str">
        <f t="shared" ca="1" si="8"/>
        <v/>
      </c>
      <c r="H66" s="1364" t="str">
        <f t="shared" ca="1" si="9"/>
        <v/>
      </c>
      <c r="I66" s="1364" t="str">
        <f t="shared" ca="1" si="10"/>
        <v/>
      </c>
      <c r="J66" s="1364" t="str">
        <f t="shared" ca="1" si="11"/>
        <v/>
      </c>
      <c r="K66" s="1364" t="str">
        <f t="shared" ca="1" si="12"/>
        <v/>
      </c>
      <c r="L66" s="1364">
        <f t="shared" ca="1" si="13"/>
        <v>336.38599999999997</v>
      </c>
      <c r="M66" s="1364" t="str">
        <f t="shared" ca="1" si="14"/>
        <v/>
      </c>
      <c r="N66" s="13">
        <f t="shared" ca="1" si="18"/>
        <v>1.9963069287660569E-2</v>
      </c>
      <c r="O66" s="13">
        <f t="shared" ca="1" si="19"/>
        <v>137.15287254901961</v>
      </c>
      <c r="P66" s="1366">
        <f t="shared" ca="1" si="19"/>
        <v>249.72312254901959</v>
      </c>
      <c r="Q66" s="13">
        <f t="shared" ca="1" si="20"/>
        <v>7.9852277150642276E-3</v>
      </c>
      <c r="R66" s="13">
        <f t="shared" ca="1" si="21"/>
        <v>54.861149019607844</v>
      </c>
      <c r="S66" s="1366">
        <f t="shared" ca="1" si="21"/>
        <v>99.889249019607846</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3">
        <v>0.63</v>
      </c>
      <c r="B67" s="13">
        <f t="shared" si="4"/>
        <v>4.8000000000000001E-2</v>
      </c>
      <c r="C67" s="1364">
        <f t="shared" si="5"/>
        <v>86.4</v>
      </c>
      <c r="D67" s="1364">
        <f ca="1">B67*'Ввод исходных данных'!$G$285+C67+IF('Ввод исходных данных'!$D$159=0,7,10)</f>
        <v>343.024</v>
      </c>
      <c r="E67" s="1431" t="str">
        <f t="shared" ca="1" si="6"/>
        <v/>
      </c>
      <c r="F67" s="1364" t="str">
        <f t="shared" ca="1" si="7"/>
        <v/>
      </c>
      <c r="G67" s="1364" t="str">
        <f t="shared" ca="1" si="8"/>
        <v/>
      </c>
      <c r="H67" s="1364" t="str">
        <f t="shared" ca="1" si="9"/>
        <v/>
      </c>
      <c r="I67" s="1364" t="str">
        <f t="shared" ca="1" si="10"/>
        <v/>
      </c>
      <c r="J67" s="1364" t="str">
        <f t="shared" ca="1" si="11"/>
        <v/>
      </c>
      <c r="K67" s="1364" t="str">
        <f t="shared" ca="1" si="12"/>
        <v/>
      </c>
      <c r="L67" s="1364">
        <f t="shared" ca="1" si="13"/>
        <v>343.024</v>
      </c>
      <c r="M67" s="1364" t="str">
        <f t="shared" ca="1" si="14"/>
        <v/>
      </c>
      <c r="N67" s="13">
        <f t="shared" ca="1" si="18"/>
        <v>1.9963069287660569E-2</v>
      </c>
      <c r="O67" s="13">
        <f t="shared" ca="1" si="19"/>
        <v>137.15287254901961</v>
      </c>
      <c r="P67" s="1366">
        <f t="shared" ca="1" si="19"/>
        <v>249.72312254901959</v>
      </c>
      <c r="Q67" s="13">
        <f t="shared" ca="1" si="20"/>
        <v>7.9852277150642276E-3</v>
      </c>
      <c r="R67" s="13">
        <f t="shared" ca="1" si="21"/>
        <v>54.861149019607844</v>
      </c>
      <c r="S67" s="1366">
        <f t="shared" ca="1" si="21"/>
        <v>99.889249019607846</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3">
        <v>0.64</v>
      </c>
      <c r="B68" s="13">
        <f t="shared" si="4"/>
        <v>4.8000000000000001E-2</v>
      </c>
      <c r="C68" s="1364">
        <f t="shared" si="5"/>
        <v>86.4</v>
      </c>
      <c r="D68" s="1364">
        <f ca="1">B68*'Ввод исходных данных'!$G$285+C68+IF('Ввод исходных данных'!$D$159=0,7,10)</f>
        <v>343.024</v>
      </c>
      <c r="E68" s="1431" t="str">
        <f t="shared" ca="1" si="6"/>
        <v/>
      </c>
      <c r="F68" s="1364" t="str">
        <f t="shared" ca="1" si="7"/>
        <v/>
      </c>
      <c r="G68" s="1364" t="str">
        <f t="shared" ca="1" si="8"/>
        <v/>
      </c>
      <c r="H68" s="1364" t="str">
        <f t="shared" ca="1" si="9"/>
        <v/>
      </c>
      <c r="I68" s="1364" t="str">
        <f t="shared" ca="1" si="10"/>
        <v/>
      </c>
      <c r="J68" s="1364" t="str">
        <f t="shared" ca="1" si="11"/>
        <v/>
      </c>
      <c r="K68" s="1364" t="str">
        <f t="shared" ca="1" si="12"/>
        <v/>
      </c>
      <c r="L68" s="1364">
        <f t="shared" ca="1" si="13"/>
        <v>343.024</v>
      </c>
      <c r="M68" s="1364" t="str">
        <f t="shared" ca="1" si="14"/>
        <v/>
      </c>
      <c r="N68" s="13">
        <f t="shared" ca="1" si="18"/>
        <v>1.9963069287660569E-2</v>
      </c>
      <c r="O68" s="13">
        <f t="shared" ca="1" si="19"/>
        <v>137.15287254901961</v>
      </c>
      <c r="P68" s="1366">
        <f t="shared" ca="1" si="19"/>
        <v>249.72312254901959</v>
      </c>
      <c r="Q68" s="13">
        <f t="shared" ca="1" si="20"/>
        <v>7.9852277150642276E-3</v>
      </c>
      <c r="R68" s="13">
        <f t="shared" ca="1" si="21"/>
        <v>54.861149019607844</v>
      </c>
      <c r="S68" s="1366">
        <f t="shared" ca="1" si="21"/>
        <v>99.889249019607846</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3">
        <v>0.65</v>
      </c>
      <c r="B69" s="13">
        <f t="shared" si="4"/>
        <v>4.9000000000000002E-2</v>
      </c>
      <c r="C69" s="1364">
        <f t="shared" si="5"/>
        <v>87.9</v>
      </c>
      <c r="D69" s="1364">
        <f ca="1">B69*'Ввод исходных данных'!$G$285+C69+IF('Ввод исходных данных'!$D$159=0,7,10)</f>
        <v>349.66200000000003</v>
      </c>
      <c r="E69" s="1431" t="str">
        <f t="shared" ca="1" si="6"/>
        <v/>
      </c>
      <c r="F69" s="1364" t="str">
        <f t="shared" ca="1" si="7"/>
        <v/>
      </c>
      <c r="G69" s="1364" t="str">
        <f t="shared" ca="1" si="8"/>
        <v/>
      </c>
      <c r="H69" s="1364" t="str">
        <f t="shared" ca="1" si="9"/>
        <v/>
      </c>
      <c r="I69" s="1364" t="str">
        <f t="shared" ca="1" si="10"/>
        <v/>
      </c>
      <c r="J69" s="1364" t="str">
        <f t="shared" ca="1" si="11"/>
        <v/>
      </c>
      <c r="K69" s="1364" t="str">
        <f t="shared" ca="1" si="12"/>
        <v/>
      </c>
      <c r="L69" s="1364">
        <f t="shared" ca="1" si="13"/>
        <v>349.66200000000003</v>
      </c>
      <c r="M69" s="1364" t="str">
        <f t="shared" ca="1" si="14"/>
        <v/>
      </c>
      <c r="N69" s="13">
        <f t="shared" ca="1" si="18"/>
        <v>1.9963069287660569E-2</v>
      </c>
      <c r="O69" s="13">
        <f t="shared" ca="1" si="19"/>
        <v>137.15287254901961</v>
      </c>
      <c r="P69" s="1366">
        <f t="shared" ca="1" si="19"/>
        <v>249.72312254901959</v>
      </c>
      <c r="Q69" s="13">
        <f t="shared" ca="1" si="20"/>
        <v>7.9852277150642276E-3</v>
      </c>
      <c r="R69" s="13">
        <f t="shared" ca="1" si="21"/>
        <v>54.861149019607844</v>
      </c>
      <c r="S69" s="1366">
        <f t="shared" ca="1" si="21"/>
        <v>99.889249019607846</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4.9000000000000002E-2</v>
      </c>
      <c r="C70" s="1364">
        <f t="shared" ref="C70:C104" si="31">$B$106*B278+$C$106*C278+$D$106*D278+$E$106*E278+$F$106*F278+$G$106*G278+$H$106*H278+$I$106*I278+$J$106*J278+$K$106*K278+$L$106*L278+$M$106*M278</f>
        <v>87.9</v>
      </c>
      <c r="D70" s="1364">
        <f ca="1">B70*'Ввод исходных данных'!$G$285+C70+IF('Ввод исходных данных'!$D$159=0,7,10)</f>
        <v>349.66200000000003</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t="str">
        <f t="shared" ref="J70:J104" ca="1" si="37">IF(AND($D70&lt;=$N$428,$D70&gt;$N$427),$D70,"")</f>
        <v/>
      </c>
      <c r="K70" s="1364" t="str">
        <f t="shared" ref="K70:K104" ca="1" si="38">IF(AND($D70&lt;=$N$429,$D70&gt;$N$428),$D70,"")</f>
        <v/>
      </c>
      <c r="L70" s="1364">
        <f t="shared" ref="L70:L104" ca="1" si="39">IF(AND($D70&lt;=$N$430,$D70&gt;$N$429),$D70,"")</f>
        <v>349.66200000000003</v>
      </c>
      <c r="M70" s="1364" t="str">
        <f t="shared" ref="M70:M104" ca="1" si="40">IF(AND($D70&gt;$N$430),$D70,"")</f>
        <v/>
      </c>
      <c r="N70" s="13">
        <f t="shared" ca="1" si="18"/>
        <v>1.9963069287660569E-2</v>
      </c>
      <c r="O70" s="13">
        <f t="shared" ca="1" si="19"/>
        <v>137.15287254901961</v>
      </c>
      <c r="P70" s="1366">
        <f t="shared" ca="1" si="19"/>
        <v>249.72312254901959</v>
      </c>
      <c r="Q70" s="13">
        <f t="shared" ca="1" si="20"/>
        <v>7.9852277150642276E-3</v>
      </c>
      <c r="R70" s="13">
        <f t="shared" ca="1" si="21"/>
        <v>54.861149019607844</v>
      </c>
      <c r="S70" s="1366">
        <f t="shared" ca="1" si="21"/>
        <v>99.889249019607846</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4.9000000000000002E-2</v>
      </c>
      <c r="C71" s="1364">
        <f t="shared" si="31"/>
        <v>89.6</v>
      </c>
      <c r="D71" s="1364">
        <f ca="1">B71*'Ввод исходных данных'!$G$285+C71+IF('Ввод исходных данных'!$D$159=0,7,10)</f>
        <v>351.36199999999997</v>
      </c>
      <c r="E71" s="1431" t="str">
        <f t="shared" ca="1" si="32"/>
        <v/>
      </c>
      <c r="F71" s="1364" t="str">
        <f t="shared" ca="1" si="33"/>
        <v/>
      </c>
      <c r="G71" s="1364" t="str">
        <f t="shared" ca="1" si="34"/>
        <v/>
      </c>
      <c r="H71" s="1364" t="str">
        <f t="shared" ca="1" si="35"/>
        <v/>
      </c>
      <c r="I71" s="1364" t="str">
        <f t="shared" ca="1" si="36"/>
        <v/>
      </c>
      <c r="J71" s="1364" t="str">
        <f t="shared" ca="1" si="37"/>
        <v/>
      </c>
      <c r="K71" s="1364" t="str">
        <f t="shared" ca="1" si="38"/>
        <v/>
      </c>
      <c r="L71" s="1364">
        <f t="shared" ca="1" si="39"/>
        <v>351.36199999999997</v>
      </c>
      <c r="M71" s="1364" t="str">
        <f t="shared" ca="1" si="40"/>
        <v/>
      </c>
      <c r="N71" s="13">
        <f t="shared" ref="N71:N104" ca="1" si="43">N70</f>
        <v>1.9963069287660569E-2</v>
      </c>
      <c r="O71" s="13">
        <f t="shared" ref="O71:P104" ca="1" si="44">O70</f>
        <v>137.15287254901961</v>
      </c>
      <c r="P71" s="1366">
        <f t="shared" ca="1" si="44"/>
        <v>249.72312254901959</v>
      </c>
      <c r="Q71" s="13">
        <f t="shared" ref="Q71:Q104" ca="1" si="45">Q70</f>
        <v>7.9852277150642276E-3</v>
      </c>
      <c r="R71" s="13">
        <f t="shared" ref="R71:S104" ca="1" si="46">R70</f>
        <v>54.861149019607844</v>
      </c>
      <c r="S71" s="1366">
        <f t="shared" ca="1" si="46"/>
        <v>99.889249019607846</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3">
        <v>0.68</v>
      </c>
      <c r="B72" s="13">
        <f t="shared" si="30"/>
        <v>4.9000000000000002E-2</v>
      </c>
      <c r="C72" s="1364">
        <f t="shared" si="31"/>
        <v>89.6</v>
      </c>
      <c r="D72" s="1364">
        <f ca="1">B72*'Ввод исходных данных'!$G$285+C72+IF('Ввод исходных данных'!$D$159=0,7,10)</f>
        <v>351.36199999999997</v>
      </c>
      <c r="E72" s="1431" t="str">
        <f t="shared" ca="1" si="32"/>
        <v/>
      </c>
      <c r="F72" s="1364" t="str">
        <f t="shared" ca="1" si="33"/>
        <v/>
      </c>
      <c r="G72" s="1364" t="str">
        <f t="shared" ca="1" si="34"/>
        <v/>
      </c>
      <c r="H72" s="1364" t="str">
        <f t="shared" ca="1" si="35"/>
        <v/>
      </c>
      <c r="I72" s="1364" t="str">
        <f t="shared" ca="1" si="36"/>
        <v/>
      </c>
      <c r="J72" s="1364" t="str">
        <f t="shared" ca="1" si="37"/>
        <v/>
      </c>
      <c r="K72" s="1364" t="str">
        <f t="shared" ca="1" si="38"/>
        <v/>
      </c>
      <c r="L72" s="1364">
        <f t="shared" ca="1" si="39"/>
        <v>351.36199999999997</v>
      </c>
      <c r="M72" s="1364" t="str">
        <f t="shared" ca="1" si="40"/>
        <v/>
      </c>
      <c r="N72" s="13">
        <f t="shared" ca="1" si="43"/>
        <v>1.9963069287660569E-2</v>
      </c>
      <c r="O72" s="13">
        <f t="shared" ca="1" si="44"/>
        <v>137.15287254901961</v>
      </c>
      <c r="P72" s="1366">
        <f t="shared" ca="1" si="44"/>
        <v>249.72312254901959</v>
      </c>
      <c r="Q72" s="13">
        <f t="shared" ca="1" si="45"/>
        <v>7.9852277150642276E-3</v>
      </c>
      <c r="R72" s="13">
        <f t="shared" ca="1" si="46"/>
        <v>54.861149019607844</v>
      </c>
      <c r="S72" s="1366">
        <f t="shared" ca="1" si="46"/>
        <v>99.889249019607846</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3">
        <v>0.69</v>
      </c>
      <c r="B73" s="13">
        <f t="shared" si="30"/>
        <v>0.05</v>
      </c>
      <c r="C73" s="1364">
        <f t="shared" si="31"/>
        <v>91.3</v>
      </c>
      <c r="D73" s="1364">
        <f ca="1">B73*'Ввод исходных данных'!$G$285+C73+IF('Ввод исходных данных'!$D$159=0,7,10)</f>
        <v>358.20000000000005</v>
      </c>
      <c r="E73" s="1431" t="str">
        <f t="shared" ca="1" si="32"/>
        <v/>
      </c>
      <c r="F73" s="1364" t="str">
        <f t="shared" ca="1" si="33"/>
        <v/>
      </c>
      <c r="G73" s="1364" t="str">
        <f t="shared" ca="1" si="34"/>
        <v/>
      </c>
      <c r="H73" s="1364" t="str">
        <f t="shared" ca="1" si="35"/>
        <v/>
      </c>
      <c r="I73" s="1364" t="str">
        <f t="shared" ca="1" si="36"/>
        <v/>
      </c>
      <c r="J73" s="1364" t="str">
        <f t="shared" ca="1" si="37"/>
        <v/>
      </c>
      <c r="K73" s="1364" t="str">
        <f t="shared" ca="1" si="38"/>
        <v/>
      </c>
      <c r="L73" s="1364">
        <f t="shared" ca="1" si="39"/>
        <v>358.20000000000005</v>
      </c>
      <c r="M73" s="1364" t="str">
        <f t="shared" ca="1" si="40"/>
        <v/>
      </c>
      <c r="N73" s="13">
        <f t="shared" ca="1" si="43"/>
        <v>1.9963069287660569E-2</v>
      </c>
      <c r="O73" s="13">
        <f t="shared" ca="1" si="44"/>
        <v>137.15287254901961</v>
      </c>
      <c r="P73" s="1366">
        <f t="shared" ca="1" si="44"/>
        <v>249.72312254901959</v>
      </c>
      <c r="Q73" s="13">
        <f t="shared" ca="1" si="45"/>
        <v>7.9852277150642276E-3</v>
      </c>
      <c r="R73" s="13">
        <f t="shared" ca="1" si="46"/>
        <v>54.861149019607844</v>
      </c>
      <c r="S73" s="1366">
        <f t="shared" ca="1" si="46"/>
        <v>99.889249019607846</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3">
        <v>0.7</v>
      </c>
      <c r="B74" s="13">
        <f t="shared" si="30"/>
        <v>0.05</v>
      </c>
      <c r="C74" s="1364">
        <f t="shared" si="31"/>
        <v>91.3</v>
      </c>
      <c r="D74" s="1364">
        <f ca="1">B74*'Ввод исходных данных'!$G$285+C74+IF('Ввод исходных данных'!$D$159=0,7,10)</f>
        <v>358.20000000000005</v>
      </c>
      <c r="E74" s="1431" t="str">
        <f t="shared" ca="1" si="32"/>
        <v/>
      </c>
      <c r="F74" s="1364" t="str">
        <f t="shared" ca="1" si="33"/>
        <v/>
      </c>
      <c r="G74" s="1364" t="str">
        <f t="shared" ca="1" si="34"/>
        <v/>
      </c>
      <c r="H74" s="1364" t="str">
        <f t="shared" ca="1" si="35"/>
        <v/>
      </c>
      <c r="I74" s="1364" t="str">
        <f t="shared" ca="1" si="36"/>
        <v/>
      </c>
      <c r="J74" s="1364" t="str">
        <f t="shared" ca="1" si="37"/>
        <v/>
      </c>
      <c r="K74" s="1364" t="str">
        <f t="shared" ca="1" si="38"/>
        <v/>
      </c>
      <c r="L74" s="1364">
        <f t="shared" ca="1" si="39"/>
        <v>358.20000000000005</v>
      </c>
      <c r="M74" s="1364" t="str">
        <f t="shared" ca="1" si="40"/>
        <v/>
      </c>
      <c r="N74" s="13">
        <f t="shared" ca="1" si="43"/>
        <v>1.9963069287660569E-2</v>
      </c>
      <c r="O74" s="13">
        <f t="shared" ca="1" si="44"/>
        <v>137.15287254901961</v>
      </c>
      <c r="P74" s="1366">
        <f t="shared" ca="1" si="44"/>
        <v>249.72312254901959</v>
      </c>
      <c r="Q74" s="13">
        <f t="shared" ca="1" si="45"/>
        <v>7.9852277150642276E-3</v>
      </c>
      <c r="R74" s="13">
        <f t="shared" ca="1" si="46"/>
        <v>54.861149019607844</v>
      </c>
      <c r="S74" s="1366">
        <f t="shared" ca="1" si="46"/>
        <v>99.889249019607846</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3">
        <v>0.71</v>
      </c>
      <c r="B75" s="13">
        <f t="shared" si="30"/>
        <v>5.0999999999999997E-2</v>
      </c>
      <c r="C75" s="1364">
        <f t="shared" si="31"/>
        <v>92.7</v>
      </c>
      <c r="D75" s="1364">
        <f ca="1">B75*'Ввод исходных данных'!$G$285+C75+IF('Ввод исходных данных'!$D$159=0,7,10)</f>
        <v>364.738</v>
      </c>
      <c r="E75" s="1431" t="str">
        <f t="shared" ca="1" si="32"/>
        <v/>
      </c>
      <c r="F75" s="1364" t="str">
        <f t="shared" ca="1" si="33"/>
        <v/>
      </c>
      <c r="G75" s="1364" t="str">
        <f t="shared" ca="1" si="34"/>
        <v/>
      </c>
      <c r="H75" s="1364" t="str">
        <f t="shared" ca="1" si="35"/>
        <v/>
      </c>
      <c r="I75" s="1364" t="str">
        <f t="shared" ca="1" si="36"/>
        <v/>
      </c>
      <c r="J75" s="1364" t="str">
        <f t="shared" ca="1" si="37"/>
        <v/>
      </c>
      <c r="K75" s="1364" t="str">
        <f t="shared" ca="1" si="38"/>
        <v/>
      </c>
      <c r="L75" s="1364">
        <f t="shared" ca="1" si="39"/>
        <v>364.738</v>
      </c>
      <c r="M75" s="1364" t="str">
        <f t="shared" ca="1" si="40"/>
        <v/>
      </c>
      <c r="N75" s="13">
        <f t="shared" ca="1" si="43"/>
        <v>1.9963069287660569E-2</v>
      </c>
      <c r="O75" s="13">
        <f t="shared" ca="1" si="44"/>
        <v>137.15287254901961</v>
      </c>
      <c r="P75" s="1366">
        <f t="shared" ca="1" si="44"/>
        <v>249.72312254901959</v>
      </c>
      <c r="Q75" s="13">
        <f t="shared" ca="1" si="45"/>
        <v>7.9852277150642276E-3</v>
      </c>
      <c r="R75" s="13">
        <f t="shared" ca="1" si="46"/>
        <v>54.861149019607844</v>
      </c>
      <c r="S75" s="1366">
        <f t="shared" ca="1" si="46"/>
        <v>99.889249019607846</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3">
        <v>0.72</v>
      </c>
      <c r="B76" s="13">
        <f t="shared" si="30"/>
        <v>5.0999999999999997E-2</v>
      </c>
      <c r="C76" s="1364">
        <f t="shared" si="31"/>
        <v>92.7</v>
      </c>
      <c r="D76" s="1364">
        <f ca="1">B76*'Ввод исходных данных'!$G$285+C76+IF('Ввод исходных данных'!$D$159=0,7,10)</f>
        <v>364.738</v>
      </c>
      <c r="E76" s="1431" t="str">
        <f t="shared" ca="1" si="32"/>
        <v/>
      </c>
      <c r="F76" s="1364" t="str">
        <f t="shared" ca="1" si="33"/>
        <v/>
      </c>
      <c r="G76" s="1364" t="str">
        <f t="shared" ca="1" si="34"/>
        <v/>
      </c>
      <c r="H76" s="1364" t="str">
        <f t="shared" ca="1" si="35"/>
        <v/>
      </c>
      <c r="I76" s="1364" t="str">
        <f t="shared" ca="1" si="36"/>
        <v/>
      </c>
      <c r="J76" s="1364" t="str">
        <f t="shared" ca="1" si="37"/>
        <v/>
      </c>
      <c r="K76" s="1364" t="str">
        <f t="shared" ca="1" si="38"/>
        <v/>
      </c>
      <c r="L76" s="1364">
        <f t="shared" ca="1" si="39"/>
        <v>364.738</v>
      </c>
      <c r="M76" s="1364" t="str">
        <f t="shared" ca="1" si="40"/>
        <v/>
      </c>
      <c r="N76" s="13">
        <f t="shared" ca="1" si="43"/>
        <v>1.9963069287660569E-2</v>
      </c>
      <c r="O76" s="13">
        <f t="shared" ca="1" si="44"/>
        <v>137.15287254901961</v>
      </c>
      <c r="P76" s="1366">
        <f t="shared" ca="1" si="44"/>
        <v>249.72312254901959</v>
      </c>
      <c r="Q76" s="13">
        <f t="shared" ca="1" si="45"/>
        <v>7.9852277150642276E-3</v>
      </c>
      <c r="R76" s="13">
        <f t="shared" ca="1" si="46"/>
        <v>54.861149019607844</v>
      </c>
      <c r="S76" s="1366">
        <f t="shared" ca="1" si="46"/>
        <v>99.889249019607846</v>
      </c>
      <c r="U76" s="13" t="str">
        <f t="shared" ca="1" si="26"/>
        <v/>
      </c>
      <c r="V76" s="13" t="str">
        <f t="shared" si="27"/>
        <v/>
      </c>
      <c r="W76" s="13" t="str">
        <f t="shared" ca="1" si="41"/>
        <v/>
      </c>
      <c r="Y76" s="13" t="str">
        <f t="shared" ca="1" si="28"/>
        <v/>
      </c>
      <c r="Z76" s="13" t="str">
        <f t="shared" ca="1" si="29"/>
        <v/>
      </c>
      <c r="AA76" s="13" t="str">
        <f t="shared" ca="1" si="42"/>
        <v/>
      </c>
    </row>
    <row r="77" spans="1:27" x14ac:dyDescent="0.25">
      <c r="A77" s="1363">
        <v>0.73</v>
      </c>
      <c r="B77" s="13">
        <f t="shared" si="30"/>
        <v>5.1999999999999998E-2</v>
      </c>
      <c r="C77" s="1364">
        <f t="shared" si="31"/>
        <v>94</v>
      </c>
      <c r="D77" s="1364">
        <f ca="1">B77*'Ввод исходных данных'!$G$285+C77+IF('Ввод исходных данных'!$D$159=0,7,10)</f>
        <v>371.17599999999999</v>
      </c>
      <c r="E77" s="1431" t="str">
        <f t="shared" ca="1" si="32"/>
        <v/>
      </c>
      <c r="F77" s="1364" t="str">
        <f t="shared" ca="1" si="33"/>
        <v/>
      </c>
      <c r="G77" s="1364" t="str">
        <f t="shared" ca="1" si="34"/>
        <v/>
      </c>
      <c r="H77" s="1364" t="str">
        <f t="shared" ca="1" si="35"/>
        <v/>
      </c>
      <c r="I77" s="1364" t="str">
        <f t="shared" ca="1" si="36"/>
        <v/>
      </c>
      <c r="J77" s="1364" t="str">
        <f t="shared" ca="1" si="37"/>
        <v/>
      </c>
      <c r="K77" s="1364" t="str">
        <f t="shared" ca="1" si="38"/>
        <v/>
      </c>
      <c r="L77" s="1364">
        <f t="shared" ca="1" si="39"/>
        <v>371.17599999999999</v>
      </c>
      <c r="M77" s="1364" t="str">
        <f t="shared" ca="1" si="40"/>
        <v/>
      </c>
      <c r="N77" s="13">
        <f t="shared" ca="1" si="43"/>
        <v>1.9963069287660569E-2</v>
      </c>
      <c r="O77" s="13">
        <f t="shared" ca="1" si="44"/>
        <v>137.15287254901961</v>
      </c>
      <c r="P77" s="1366">
        <f t="shared" ca="1" si="44"/>
        <v>249.72312254901959</v>
      </c>
      <c r="Q77" s="13">
        <f t="shared" ca="1" si="45"/>
        <v>7.9852277150642276E-3</v>
      </c>
      <c r="R77" s="13">
        <f t="shared" ca="1" si="46"/>
        <v>54.861149019607844</v>
      </c>
      <c r="S77" s="1366">
        <f t="shared" ca="1" si="46"/>
        <v>99.889249019607846</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3">
        <v>0.74</v>
      </c>
      <c r="B78" s="13">
        <f t="shared" si="30"/>
        <v>5.1999999999999998E-2</v>
      </c>
      <c r="C78" s="1364">
        <f t="shared" si="31"/>
        <v>94</v>
      </c>
      <c r="D78" s="1364">
        <f ca="1">B78*'Ввод исходных данных'!$G$285+C78+IF('Ввод исходных данных'!$D$159=0,7,10)</f>
        <v>371.17599999999999</v>
      </c>
      <c r="E78" s="1431" t="str">
        <f t="shared" ca="1" si="32"/>
        <v/>
      </c>
      <c r="F78" s="1364" t="str">
        <f t="shared" ca="1" si="33"/>
        <v/>
      </c>
      <c r="G78" s="1364" t="str">
        <f t="shared" ca="1" si="34"/>
        <v/>
      </c>
      <c r="H78" s="1364" t="str">
        <f t="shared" ca="1" si="35"/>
        <v/>
      </c>
      <c r="I78" s="1364" t="str">
        <f t="shared" ca="1" si="36"/>
        <v/>
      </c>
      <c r="J78" s="1364" t="str">
        <f t="shared" ca="1" si="37"/>
        <v/>
      </c>
      <c r="K78" s="1364" t="str">
        <f t="shared" ca="1" si="38"/>
        <v/>
      </c>
      <c r="L78" s="1364">
        <f t="shared" ca="1" si="39"/>
        <v>371.17599999999999</v>
      </c>
      <c r="M78" s="1364" t="str">
        <f t="shared" ca="1" si="40"/>
        <v/>
      </c>
      <c r="N78" s="13">
        <f t="shared" ca="1" si="43"/>
        <v>1.9963069287660569E-2</v>
      </c>
      <c r="O78" s="13">
        <f t="shared" ca="1" si="44"/>
        <v>137.15287254901961</v>
      </c>
      <c r="P78" s="1366">
        <f t="shared" ca="1" si="44"/>
        <v>249.72312254901959</v>
      </c>
      <c r="Q78" s="13">
        <f t="shared" ca="1" si="45"/>
        <v>7.9852277150642276E-3</v>
      </c>
      <c r="R78" s="13">
        <f t="shared" ca="1" si="46"/>
        <v>54.861149019607844</v>
      </c>
      <c r="S78" s="1366">
        <f t="shared" ca="1" si="46"/>
        <v>99.889249019607846</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3">
        <v>0.75</v>
      </c>
      <c r="B79" s="13">
        <f t="shared" si="30"/>
        <v>5.1999999999999998E-2</v>
      </c>
      <c r="C79" s="1364">
        <f t="shared" si="31"/>
        <v>95.7</v>
      </c>
      <c r="D79" s="1364">
        <f ca="1">B79*'Ввод исходных данных'!$G$285+C79+IF('Ввод исходных данных'!$D$159=0,7,10)</f>
        <v>372.87599999999998</v>
      </c>
      <c r="E79" s="1431" t="str">
        <f t="shared" ca="1" si="32"/>
        <v/>
      </c>
      <c r="F79" s="1364" t="str">
        <f t="shared" ca="1" si="33"/>
        <v/>
      </c>
      <c r="G79" s="1364" t="str">
        <f t="shared" ca="1" si="34"/>
        <v/>
      </c>
      <c r="H79" s="1364" t="str">
        <f t="shared" ca="1" si="35"/>
        <v/>
      </c>
      <c r="I79" s="1364" t="str">
        <f t="shared" ca="1" si="36"/>
        <v/>
      </c>
      <c r="J79" s="1364" t="str">
        <f t="shared" ca="1" si="37"/>
        <v/>
      </c>
      <c r="K79" s="1364" t="str">
        <f t="shared" ca="1" si="38"/>
        <v/>
      </c>
      <c r="L79" s="1364">
        <f t="shared" ca="1" si="39"/>
        <v>372.87599999999998</v>
      </c>
      <c r="M79" s="1364" t="str">
        <f t="shared" ca="1" si="40"/>
        <v/>
      </c>
      <c r="N79" s="13">
        <f t="shared" ca="1" si="43"/>
        <v>1.9963069287660569E-2</v>
      </c>
      <c r="O79" s="13">
        <f t="shared" ca="1" si="44"/>
        <v>137.15287254901961</v>
      </c>
      <c r="P79" s="1366">
        <f t="shared" ca="1" si="44"/>
        <v>249.72312254901959</v>
      </c>
      <c r="Q79" s="13">
        <f t="shared" ca="1" si="45"/>
        <v>7.9852277150642276E-3</v>
      </c>
      <c r="R79" s="13">
        <f t="shared" ca="1" si="46"/>
        <v>54.861149019607844</v>
      </c>
      <c r="S79" s="1366">
        <f t="shared" ca="1" si="46"/>
        <v>99.889249019607846</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3">
        <v>0.76</v>
      </c>
      <c r="B80" s="13">
        <f t="shared" si="30"/>
        <v>5.1999999999999998E-2</v>
      </c>
      <c r="C80" s="1364">
        <f t="shared" si="31"/>
        <v>95.7</v>
      </c>
      <c r="D80" s="1364">
        <f ca="1">B80*'Ввод исходных данных'!$G$285+C80+IF('Ввод исходных данных'!$D$159=0,7,10)</f>
        <v>372.87599999999998</v>
      </c>
      <c r="E80" s="1431" t="str">
        <f t="shared" ca="1" si="32"/>
        <v/>
      </c>
      <c r="F80" s="1364" t="str">
        <f t="shared" ca="1" si="33"/>
        <v/>
      </c>
      <c r="G80" s="1364" t="str">
        <f t="shared" ca="1" si="34"/>
        <v/>
      </c>
      <c r="H80" s="1364" t="str">
        <f t="shared" ca="1" si="35"/>
        <v/>
      </c>
      <c r="I80" s="1364" t="str">
        <f t="shared" ca="1" si="36"/>
        <v/>
      </c>
      <c r="J80" s="1364" t="str">
        <f t="shared" ca="1" si="37"/>
        <v/>
      </c>
      <c r="K80" s="1364" t="str">
        <f t="shared" ca="1" si="38"/>
        <v/>
      </c>
      <c r="L80" s="1364">
        <f t="shared" ca="1" si="39"/>
        <v>372.87599999999998</v>
      </c>
      <c r="M80" s="1364" t="str">
        <f t="shared" ca="1" si="40"/>
        <v/>
      </c>
      <c r="N80" s="13">
        <f t="shared" ca="1" si="43"/>
        <v>1.9963069287660569E-2</v>
      </c>
      <c r="O80" s="13">
        <f t="shared" ca="1" si="44"/>
        <v>137.15287254901961</v>
      </c>
      <c r="P80" s="1366">
        <f t="shared" ca="1" si="44"/>
        <v>249.72312254901959</v>
      </c>
      <c r="Q80" s="13">
        <f t="shared" ca="1" si="45"/>
        <v>7.9852277150642276E-3</v>
      </c>
      <c r="R80" s="13">
        <f t="shared" ca="1" si="46"/>
        <v>54.861149019607844</v>
      </c>
      <c r="S80" s="1366">
        <f t="shared" ca="1" si="46"/>
        <v>99.889249019607846</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3">
        <v>0.77</v>
      </c>
      <c r="B81" s="13">
        <f t="shared" si="30"/>
        <v>5.2999999999999999E-2</v>
      </c>
      <c r="C81" s="1364">
        <f t="shared" si="31"/>
        <v>97.4</v>
      </c>
      <c r="D81" s="1364">
        <f ca="1">B81*'Ввод исходных данных'!$G$285+C81+IF('Ввод исходных данных'!$D$159=0,7,10)</f>
        <v>379.71399999999994</v>
      </c>
      <c r="E81" s="1431" t="str">
        <f t="shared" ca="1" si="32"/>
        <v/>
      </c>
      <c r="F81" s="1364" t="str">
        <f t="shared" ca="1" si="33"/>
        <v/>
      </c>
      <c r="G81" s="1364" t="str">
        <f t="shared" ca="1" si="34"/>
        <v/>
      </c>
      <c r="H81" s="1364" t="str">
        <f t="shared" ca="1" si="35"/>
        <v/>
      </c>
      <c r="I81" s="1364" t="str">
        <f t="shared" ca="1" si="36"/>
        <v/>
      </c>
      <c r="J81" s="1364" t="str">
        <f t="shared" ca="1" si="37"/>
        <v/>
      </c>
      <c r="K81" s="1364" t="str">
        <f t="shared" ca="1" si="38"/>
        <v/>
      </c>
      <c r="L81" s="1364" t="str">
        <f t="shared" ca="1" si="39"/>
        <v/>
      </c>
      <c r="M81" s="1364">
        <f t="shared" ca="1" si="40"/>
        <v>379.71399999999994</v>
      </c>
      <c r="N81" s="13">
        <f t="shared" ca="1" si="43"/>
        <v>1.9963069287660569E-2</v>
      </c>
      <c r="O81" s="13">
        <f t="shared" ca="1" si="44"/>
        <v>137.15287254901961</v>
      </c>
      <c r="P81" s="1366">
        <f t="shared" ca="1" si="44"/>
        <v>249.72312254901959</v>
      </c>
      <c r="Q81" s="13">
        <f t="shared" ca="1" si="45"/>
        <v>7.9852277150642276E-3</v>
      </c>
      <c r="R81" s="13">
        <f t="shared" ca="1" si="46"/>
        <v>54.861149019607844</v>
      </c>
      <c r="S81" s="1366">
        <f t="shared" ca="1" si="46"/>
        <v>99.889249019607846</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3">
        <v>0.78</v>
      </c>
      <c r="B82" s="13">
        <f t="shared" si="30"/>
        <v>5.2999999999999999E-2</v>
      </c>
      <c r="C82" s="1364">
        <f t="shared" si="31"/>
        <v>97.4</v>
      </c>
      <c r="D82" s="1364">
        <f ca="1">B82*'Ввод исходных данных'!$G$285+C82+IF('Ввод исходных данных'!$D$159=0,7,10)</f>
        <v>379.71399999999994</v>
      </c>
      <c r="E82" s="1431" t="str">
        <f t="shared" ca="1" si="32"/>
        <v/>
      </c>
      <c r="F82" s="1364" t="str">
        <f t="shared" ca="1" si="33"/>
        <v/>
      </c>
      <c r="G82" s="1364" t="str">
        <f t="shared" ca="1" si="34"/>
        <v/>
      </c>
      <c r="H82" s="1364" t="str">
        <f t="shared" ca="1" si="35"/>
        <v/>
      </c>
      <c r="I82" s="1364" t="str">
        <f t="shared" ca="1" si="36"/>
        <v/>
      </c>
      <c r="J82" s="1364" t="str">
        <f t="shared" ca="1" si="37"/>
        <v/>
      </c>
      <c r="K82" s="1364" t="str">
        <f t="shared" ca="1" si="38"/>
        <v/>
      </c>
      <c r="L82" s="1364" t="str">
        <f t="shared" ca="1" si="39"/>
        <v/>
      </c>
      <c r="M82" s="1364">
        <f t="shared" ca="1" si="40"/>
        <v>379.71399999999994</v>
      </c>
      <c r="N82" s="13">
        <f t="shared" ca="1" si="43"/>
        <v>1.9963069287660569E-2</v>
      </c>
      <c r="O82" s="13">
        <f t="shared" ca="1" si="44"/>
        <v>137.15287254901961</v>
      </c>
      <c r="P82" s="1366">
        <f t="shared" ca="1" si="44"/>
        <v>249.72312254901959</v>
      </c>
      <c r="Q82" s="13">
        <f t="shared" ca="1" si="45"/>
        <v>7.9852277150642276E-3</v>
      </c>
      <c r="R82" s="13">
        <f t="shared" ca="1" si="46"/>
        <v>54.861149019607844</v>
      </c>
      <c r="S82" s="1366">
        <f t="shared" ca="1" si="46"/>
        <v>99.889249019607846</v>
      </c>
      <c r="U82" s="13" t="str">
        <f t="shared" ca="1" si="26"/>
        <v/>
      </c>
      <c r="V82" s="13">
        <f t="shared" si="27"/>
        <v>99.075038659282839</v>
      </c>
      <c r="W82" s="13" t="str">
        <f t="shared" ca="1" si="41"/>
        <v/>
      </c>
      <c r="Y82" s="13" t="str">
        <f t="shared" ca="1" si="28"/>
        <v/>
      </c>
      <c r="Z82" s="13">
        <f t="shared" ca="1" si="29"/>
        <v>99.075038659282839</v>
      </c>
      <c r="AA82" s="13" t="str">
        <f t="shared" ca="1" si="42"/>
        <v/>
      </c>
    </row>
    <row r="83" spans="1:27" x14ac:dyDescent="0.25">
      <c r="A83" s="1363">
        <v>0.79</v>
      </c>
      <c r="B83" s="13">
        <f t="shared" si="30"/>
        <v>5.3999999999999999E-2</v>
      </c>
      <c r="C83" s="1364">
        <f t="shared" si="31"/>
        <v>99.2</v>
      </c>
      <c r="D83" s="1364">
        <f ca="1">B83*'Ввод исходных данных'!$G$285+C83+IF('Ввод исходных данных'!$D$159=0,7,10)</f>
        <v>386.65199999999999</v>
      </c>
      <c r="E83" s="1431" t="str">
        <f t="shared" ca="1" si="32"/>
        <v/>
      </c>
      <c r="F83" s="1364" t="str">
        <f t="shared" ca="1" si="33"/>
        <v/>
      </c>
      <c r="G83" s="1364" t="str">
        <f t="shared" ca="1" si="34"/>
        <v/>
      </c>
      <c r="H83" s="1364" t="str">
        <f t="shared" ca="1" si="35"/>
        <v/>
      </c>
      <c r="I83" s="1364" t="str">
        <f t="shared" ca="1" si="36"/>
        <v/>
      </c>
      <c r="J83" s="1364" t="str">
        <f t="shared" ca="1" si="37"/>
        <v/>
      </c>
      <c r="K83" s="1364" t="str">
        <f t="shared" ca="1" si="38"/>
        <v/>
      </c>
      <c r="L83" s="1364" t="str">
        <f t="shared" ca="1" si="39"/>
        <v/>
      </c>
      <c r="M83" s="1364">
        <f t="shared" ca="1" si="40"/>
        <v>386.65199999999999</v>
      </c>
      <c r="N83" s="13">
        <f t="shared" ca="1" si="43"/>
        <v>1.9963069287660569E-2</v>
      </c>
      <c r="O83" s="13">
        <f t="shared" ca="1" si="44"/>
        <v>137.15287254901961</v>
      </c>
      <c r="P83" s="1366">
        <f t="shared" ca="1" si="44"/>
        <v>249.72312254901959</v>
      </c>
      <c r="Q83" s="13">
        <f t="shared" ca="1" si="45"/>
        <v>7.9852277150642276E-3</v>
      </c>
      <c r="R83" s="13">
        <f t="shared" ca="1" si="46"/>
        <v>54.861149019607844</v>
      </c>
      <c r="S83" s="1366">
        <f t="shared" ca="1" si="46"/>
        <v>99.889249019607846</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3">
        <v>0.8</v>
      </c>
      <c r="B84" s="13">
        <f t="shared" si="30"/>
        <v>5.3999999999999999E-2</v>
      </c>
      <c r="C84" s="1364">
        <f t="shared" si="31"/>
        <v>99.2</v>
      </c>
      <c r="D84" s="1364">
        <f ca="1">B84*'Ввод исходных данных'!$G$285+C84+IF('Ввод исходных данных'!$D$159=0,7,10)</f>
        <v>386.65199999999999</v>
      </c>
      <c r="E84" s="1431" t="str">
        <f t="shared" ca="1" si="32"/>
        <v/>
      </c>
      <c r="F84" s="1364" t="str">
        <f t="shared" ca="1" si="33"/>
        <v/>
      </c>
      <c r="G84" s="1364" t="str">
        <f t="shared" ca="1" si="34"/>
        <v/>
      </c>
      <c r="H84" s="1364" t="str">
        <f t="shared" ca="1" si="35"/>
        <v/>
      </c>
      <c r="I84" s="1364" t="str">
        <f t="shared" ca="1" si="36"/>
        <v/>
      </c>
      <c r="J84" s="1364" t="str">
        <f t="shared" ca="1" si="37"/>
        <v/>
      </c>
      <c r="K84" s="1364" t="str">
        <f t="shared" ca="1" si="38"/>
        <v/>
      </c>
      <c r="L84" s="1364" t="str">
        <f t="shared" ca="1" si="39"/>
        <v/>
      </c>
      <c r="M84" s="1364">
        <f t="shared" ca="1" si="40"/>
        <v>386.65199999999999</v>
      </c>
      <c r="N84" s="13">
        <f t="shared" ca="1" si="43"/>
        <v>1.9963069287660569E-2</v>
      </c>
      <c r="O84" s="13">
        <f t="shared" ca="1" si="44"/>
        <v>137.15287254901961</v>
      </c>
      <c r="P84" s="1366">
        <f t="shared" ca="1" si="44"/>
        <v>249.72312254901959</v>
      </c>
      <c r="Q84" s="13">
        <f t="shared" ca="1" si="45"/>
        <v>7.9852277150642276E-3</v>
      </c>
      <c r="R84" s="13">
        <f t="shared" ca="1" si="46"/>
        <v>54.861149019607844</v>
      </c>
      <c r="S84" s="1366">
        <f t="shared" ca="1" si="46"/>
        <v>99.889249019607846</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3">
        <v>0.81</v>
      </c>
      <c r="B85" s="13">
        <f t="shared" si="30"/>
        <v>5.5E-2</v>
      </c>
      <c r="C85" s="1364">
        <f t="shared" si="31"/>
        <v>101.4</v>
      </c>
      <c r="D85" s="1364">
        <f ca="1">B85*'Ввод исходных данных'!$G$285+C85+IF('Ввод исходных данных'!$D$159=0,7,10)</f>
        <v>393.99</v>
      </c>
      <c r="E85" s="1431" t="str">
        <f t="shared" ca="1" si="32"/>
        <v/>
      </c>
      <c r="F85" s="1364" t="str">
        <f t="shared" ca="1" si="33"/>
        <v/>
      </c>
      <c r="G85" s="1364" t="str">
        <f t="shared" ca="1" si="34"/>
        <v/>
      </c>
      <c r="H85" s="1364" t="str">
        <f t="shared" ca="1" si="35"/>
        <v/>
      </c>
      <c r="I85" s="1364" t="str">
        <f t="shared" ca="1" si="36"/>
        <v/>
      </c>
      <c r="J85" s="1364" t="str">
        <f t="shared" ca="1" si="37"/>
        <v/>
      </c>
      <c r="K85" s="1364" t="str">
        <f t="shared" ca="1" si="38"/>
        <v/>
      </c>
      <c r="L85" s="1364" t="str">
        <f t="shared" ca="1" si="39"/>
        <v/>
      </c>
      <c r="M85" s="1364">
        <f t="shared" ca="1" si="40"/>
        <v>393.99</v>
      </c>
      <c r="N85" s="13">
        <f t="shared" ca="1" si="43"/>
        <v>1.9963069287660569E-2</v>
      </c>
      <c r="O85" s="13">
        <f t="shared" ca="1" si="44"/>
        <v>137.15287254901961</v>
      </c>
      <c r="P85" s="1366">
        <f t="shared" ca="1" si="44"/>
        <v>249.72312254901959</v>
      </c>
      <c r="Q85" s="13">
        <f t="shared" ca="1" si="45"/>
        <v>7.9852277150642276E-3</v>
      </c>
      <c r="R85" s="13">
        <f t="shared" ca="1" si="46"/>
        <v>54.861149019607844</v>
      </c>
      <c r="S85" s="1366">
        <f t="shared" ca="1" si="46"/>
        <v>99.889249019607846</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3">
        <v>0.82</v>
      </c>
      <c r="B86" s="13">
        <f t="shared" si="30"/>
        <v>5.5E-2</v>
      </c>
      <c r="C86" s="1364">
        <f t="shared" si="31"/>
        <v>101.4</v>
      </c>
      <c r="D86" s="1364">
        <f ca="1">B86*'Ввод исходных данных'!$G$285+C86+IF('Ввод исходных данных'!$D$159=0,7,10)</f>
        <v>393.99</v>
      </c>
      <c r="E86" s="1431" t="str">
        <f t="shared" ca="1" si="32"/>
        <v/>
      </c>
      <c r="F86" s="1364" t="str">
        <f t="shared" ca="1" si="33"/>
        <v/>
      </c>
      <c r="G86" s="1364" t="str">
        <f t="shared" ca="1" si="34"/>
        <v/>
      </c>
      <c r="H86" s="1364" t="str">
        <f t="shared" ca="1" si="35"/>
        <v/>
      </c>
      <c r="I86" s="1364" t="str">
        <f t="shared" ca="1" si="36"/>
        <v/>
      </c>
      <c r="J86" s="1364" t="str">
        <f t="shared" ca="1" si="37"/>
        <v/>
      </c>
      <c r="K86" s="1364" t="str">
        <f t="shared" ca="1" si="38"/>
        <v/>
      </c>
      <c r="L86" s="1364" t="str">
        <f t="shared" ca="1" si="39"/>
        <v/>
      </c>
      <c r="M86" s="1364">
        <f t="shared" ca="1" si="40"/>
        <v>393.99</v>
      </c>
      <c r="N86" s="13">
        <f t="shared" ca="1" si="43"/>
        <v>1.9963069287660569E-2</v>
      </c>
      <c r="O86" s="13">
        <f t="shared" ca="1" si="44"/>
        <v>137.15287254901961</v>
      </c>
      <c r="P86" s="1366">
        <f t="shared" ca="1" si="44"/>
        <v>249.72312254901959</v>
      </c>
      <c r="Q86" s="13">
        <f t="shared" ca="1" si="45"/>
        <v>7.9852277150642276E-3</v>
      </c>
      <c r="R86" s="13">
        <f t="shared" ca="1" si="46"/>
        <v>54.861149019607844</v>
      </c>
      <c r="S86" s="1366">
        <f t="shared" ca="1" si="46"/>
        <v>99.889249019607846</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3">
        <v>0.83</v>
      </c>
      <c r="B87" s="13">
        <f t="shared" si="30"/>
        <v>5.6000000000000001E-2</v>
      </c>
      <c r="C87" s="1364">
        <f t="shared" si="31"/>
        <v>102.8</v>
      </c>
      <c r="D87" s="1364">
        <f ca="1">B87*'Ввод исходных данных'!$G$285+C87+IF('Ввод исходных данных'!$D$159=0,7,10)</f>
        <v>400.52800000000002</v>
      </c>
      <c r="E87" s="1431" t="str">
        <f t="shared" ca="1" si="32"/>
        <v/>
      </c>
      <c r="F87" s="1364" t="str">
        <f t="shared" ca="1" si="33"/>
        <v/>
      </c>
      <c r="G87" s="1364" t="str">
        <f t="shared" ca="1" si="34"/>
        <v/>
      </c>
      <c r="H87" s="1364" t="str">
        <f t="shared" ca="1" si="35"/>
        <v/>
      </c>
      <c r="I87" s="1364" t="str">
        <f t="shared" ca="1" si="36"/>
        <v/>
      </c>
      <c r="J87" s="1364" t="str">
        <f t="shared" ca="1" si="37"/>
        <v/>
      </c>
      <c r="K87" s="1364" t="str">
        <f t="shared" ca="1" si="38"/>
        <v/>
      </c>
      <c r="L87" s="1364" t="str">
        <f t="shared" ca="1" si="39"/>
        <v/>
      </c>
      <c r="M87" s="1364">
        <f t="shared" ca="1" si="40"/>
        <v>400.52800000000002</v>
      </c>
      <c r="N87" s="13">
        <f t="shared" ca="1" si="43"/>
        <v>1.9963069287660569E-2</v>
      </c>
      <c r="O87" s="13">
        <f t="shared" ca="1" si="44"/>
        <v>137.15287254901961</v>
      </c>
      <c r="P87" s="1366">
        <f t="shared" ca="1" si="44"/>
        <v>249.72312254901959</v>
      </c>
      <c r="Q87" s="13">
        <f t="shared" ca="1" si="45"/>
        <v>7.9852277150642276E-3</v>
      </c>
      <c r="R87" s="13">
        <f t="shared" ca="1" si="46"/>
        <v>54.861149019607844</v>
      </c>
      <c r="S87" s="1366">
        <f t="shared" ca="1" si="46"/>
        <v>99.889249019607846</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3">
        <v>0.84</v>
      </c>
      <c r="B88" s="13">
        <f t="shared" si="30"/>
        <v>5.6000000000000001E-2</v>
      </c>
      <c r="C88" s="1364">
        <f t="shared" si="31"/>
        <v>102.8</v>
      </c>
      <c r="D88" s="1364">
        <f ca="1">B88*'Ввод исходных данных'!$G$285+C88+IF('Ввод исходных данных'!$D$159=0,7,10)</f>
        <v>400.52800000000002</v>
      </c>
      <c r="E88" s="1431" t="str">
        <f t="shared" ca="1" si="32"/>
        <v/>
      </c>
      <c r="F88" s="1364" t="str">
        <f t="shared" ca="1" si="33"/>
        <v/>
      </c>
      <c r="G88" s="1364" t="str">
        <f t="shared" ca="1" si="34"/>
        <v/>
      </c>
      <c r="H88" s="1364" t="str">
        <f t="shared" ca="1" si="35"/>
        <v/>
      </c>
      <c r="I88" s="1364" t="str">
        <f t="shared" ca="1" si="36"/>
        <v/>
      </c>
      <c r="J88" s="1364" t="str">
        <f t="shared" ca="1" si="37"/>
        <v/>
      </c>
      <c r="K88" s="1364" t="str">
        <f t="shared" ca="1" si="38"/>
        <v/>
      </c>
      <c r="L88" s="1364" t="str">
        <f t="shared" ca="1" si="39"/>
        <v/>
      </c>
      <c r="M88" s="1364">
        <f t="shared" ca="1" si="40"/>
        <v>400.52800000000002</v>
      </c>
      <c r="N88" s="13">
        <f t="shared" ca="1" si="43"/>
        <v>1.9963069287660569E-2</v>
      </c>
      <c r="O88" s="13">
        <f t="shared" ca="1" si="44"/>
        <v>137.15287254901961</v>
      </c>
      <c r="P88" s="1366">
        <f t="shared" ca="1" si="44"/>
        <v>249.72312254901959</v>
      </c>
      <c r="Q88" s="13">
        <f t="shared" ca="1" si="45"/>
        <v>7.9852277150642276E-3</v>
      </c>
      <c r="R88" s="13">
        <f t="shared" ca="1" si="46"/>
        <v>54.861149019607844</v>
      </c>
      <c r="S88" s="1366">
        <f t="shared" ca="1" si="46"/>
        <v>99.889249019607846</v>
      </c>
      <c r="U88" s="13" t="str">
        <f t="shared" ca="1" si="26"/>
        <v/>
      </c>
      <c r="V88" s="13" t="str">
        <f t="shared" si="27"/>
        <v/>
      </c>
      <c r="W88" s="13" t="str">
        <f t="shared" ca="1" si="41"/>
        <v/>
      </c>
      <c r="Y88" s="13" t="str">
        <f t="shared" ca="1" si="28"/>
        <v/>
      </c>
      <c r="Z88" s="13" t="str">
        <f t="shared" ca="1" si="29"/>
        <v/>
      </c>
      <c r="AA88" s="13" t="str">
        <f t="shared" ca="1" si="42"/>
        <v/>
      </c>
    </row>
    <row r="89" spans="1:27" x14ac:dyDescent="0.25">
      <c r="A89" s="1363">
        <v>0.85</v>
      </c>
      <c r="B89" s="13">
        <f t="shared" si="30"/>
        <v>5.7000000000000002E-2</v>
      </c>
      <c r="C89" s="1364">
        <f t="shared" si="31"/>
        <v>104.2</v>
      </c>
      <c r="D89" s="1364">
        <f ca="1">B89*'Ввод исходных данных'!$G$285+C89+IF('Ввод исходных данных'!$D$159=0,7,10)</f>
        <v>407.06599999999997</v>
      </c>
      <c r="E89" s="1431" t="str">
        <f t="shared" ca="1" si="32"/>
        <v/>
      </c>
      <c r="F89" s="1364" t="str">
        <f t="shared" ca="1" si="33"/>
        <v/>
      </c>
      <c r="G89" s="1364" t="str">
        <f t="shared" ca="1" si="34"/>
        <v/>
      </c>
      <c r="H89" s="1364" t="str">
        <f t="shared" ca="1" si="35"/>
        <v/>
      </c>
      <c r="I89" s="1364" t="str">
        <f t="shared" ca="1" si="36"/>
        <v/>
      </c>
      <c r="J89" s="1364" t="str">
        <f t="shared" ca="1" si="37"/>
        <v/>
      </c>
      <c r="K89" s="1364" t="str">
        <f t="shared" ca="1" si="38"/>
        <v/>
      </c>
      <c r="L89" s="1364" t="str">
        <f t="shared" ca="1" si="39"/>
        <v/>
      </c>
      <c r="M89" s="1364">
        <f t="shared" ca="1" si="40"/>
        <v>407.06599999999997</v>
      </c>
      <c r="N89" s="13">
        <f t="shared" ca="1" si="43"/>
        <v>1.9963069287660569E-2</v>
      </c>
      <c r="O89" s="13">
        <f t="shared" ca="1" si="44"/>
        <v>137.15287254901961</v>
      </c>
      <c r="P89" s="1366">
        <f t="shared" ca="1" si="44"/>
        <v>249.72312254901959</v>
      </c>
      <c r="Q89" s="13">
        <f t="shared" ca="1" si="45"/>
        <v>7.9852277150642276E-3</v>
      </c>
      <c r="R89" s="13">
        <f t="shared" ca="1" si="46"/>
        <v>54.861149019607844</v>
      </c>
      <c r="S89" s="1366">
        <f t="shared" ca="1" si="46"/>
        <v>99.889249019607846</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3">
        <v>0.86</v>
      </c>
      <c r="B90" s="13">
        <f t="shared" si="30"/>
        <v>5.7000000000000002E-2</v>
      </c>
      <c r="C90" s="1364">
        <f t="shared" si="31"/>
        <v>104.2</v>
      </c>
      <c r="D90" s="1364">
        <f ca="1">B90*'Ввод исходных данных'!$G$285+C90+IF('Ввод исходных данных'!$D$159=0,7,10)</f>
        <v>407.06599999999997</v>
      </c>
      <c r="E90" s="1431" t="str">
        <f t="shared" ca="1" si="32"/>
        <v/>
      </c>
      <c r="F90" s="1364" t="str">
        <f t="shared" ca="1" si="33"/>
        <v/>
      </c>
      <c r="G90" s="1364" t="str">
        <f t="shared" ca="1" si="34"/>
        <v/>
      </c>
      <c r="H90" s="1364" t="str">
        <f t="shared" ca="1" si="35"/>
        <v/>
      </c>
      <c r="I90" s="1364" t="str">
        <f t="shared" ca="1" si="36"/>
        <v/>
      </c>
      <c r="J90" s="1364" t="str">
        <f t="shared" ca="1" si="37"/>
        <v/>
      </c>
      <c r="K90" s="1364" t="str">
        <f t="shared" ca="1" si="38"/>
        <v/>
      </c>
      <c r="L90" s="1364" t="str">
        <f t="shared" ca="1" si="39"/>
        <v/>
      </c>
      <c r="M90" s="1364">
        <f t="shared" ca="1" si="40"/>
        <v>407.06599999999997</v>
      </c>
      <c r="N90" s="13">
        <f t="shared" ca="1" si="43"/>
        <v>1.9963069287660569E-2</v>
      </c>
      <c r="O90" s="13">
        <f t="shared" ca="1" si="44"/>
        <v>137.15287254901961</v>
      </c>
      <c r="P90" s="1366">
        <f t="shared" ca="1" si="44"/>
        <v>249.72312254901959</v>
      </c>
      <c r="Q90" s="13">
        <f t="shared" ca="1" si="45"/>
        <v>7.9852277150642276E-3</v>
      </c>
      <c r="R90" s="13">
        <f t="shared" ca="1" si="46"/>
        <v>54.861149019607844</v>
      </c>
      <c r="S90" s="1366">
        <f t="shared" ca="1" si="46"/>
        <v>99.889249019607846</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3">
        <v>0.87</v>
      </c>
      <c r="B91" s="13">
        <f t="shared" si="30"/>
        <v>5.8000000000000003E-2</v>
      </c>
      <c r="C91" s="1364">
        <f t="shared" si="31"/>
        <v>105.7</v>
      </c>
      <c r="D91" s="1364">
        <f ca="1">B91*'Ввод исходных данных'!$G$285+C91+IF('Ввод исходных данных'!$D$159=0,7,10)</f>
        <v>413.70400000000001</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t="str">
        <f t="shared" ca="1" si="39"/>
        <v/>
      </c>
      <c r="M91" s="1364">
        <f t="shared" ca="1" si="40"/>
        <v>413.70400000000001</v>
      </c>
      <c r="N91" s="13">
        <f t="shared" ca="1" si="43"/>
        <v>1.9963069287660569E-2</v>
      </c>
      <c r="O91" s="13">
        <f t="shared" ca="1" si="44"/>
        <v>137.15287254901961</v>
      </c>
      <c r="P91" s="1366">
        <f t="shared" ca="1" si="44"/>
        <v>249.72312254901959</v>
      </c>
      <c r="Q91" s="13">
        <f t="shared" ca="1" si="45"/>
        <v>7.9852277150642276E-3</v>
      </c>
      <c r="R91" s="13">
        <f t="shared" ca="1" si="46"/>
        <v>54.861149019607844</v>
      </c>
      <c r="S91" s="1366">
        <f t="shared" ca="1" si="46"/>
        <v>99.889249019607846</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3">
        <v>0.88</v>
      </c>
      <c r="B92" s="13">
        <f t="shared" si="30"/>
        <v>5.8000000000000003E-2</v>
      </c>
      <c r="C92" s="1364">
        <f t="shared" si="31"/>
        <v>105.7</v>
      </c>
      <c r="D92" s="1364">
        <f ca="1">B92*'Ввод исходных данных'!$G$285+C92+IF('Ввод исходных данных'!$D$159=0,7,10)</f>
        <v>413.70400000000001</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t="str">
        <f t="shared" ca="1" si="39"/>
        <v/>
      </c>
      <c r="M92" s="1364">
        <f t="shared" ca="1" si="40"/>
        <v>413.70400000000001</v>
      </c>
      <c r="N92" s="13">
        <f t="shared" ca="1" si="43"/>
        <v>1.9963069287660569E-2</v>
      </c>
      <c r="O92" s="13">
        <f t="shared" ca="1" si="44"/>
        <v>137.15287254901961</v>
      </c>
      <c r="P92" s="1366">
        <f t="shared" ca="1" si="44"/>
        <v>249.72312254901959</v>
      </c>
      <c r="Q92" s="13">
        <f t="shared" ca="1" si="45"/>
        <v>7.9852277150642276E-3</v>
      </c>
      <c r="R92" s="13">
        <f t="shared" ca="1" si="46"/>
        <v>54.861149019607844</v>
      </c>
      <c r="S92" s="1366">
        <f t="shared" ca="1" si="46"/>
        <v>99.889249019607846</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3">
        <v>0.89</v>
      </c>
      <c r="B93" s="13">
        <f t="shared" si="30"/>
        <v>6.0999999999999999E-2</v>
      </c>
      <c r="C93" s="1364">
        <f t="shared" si="31"/>
        <v>107.7</v>
      </c>
      <c r="D93" s="1364">
        <f ca="1">B93*'Ввод исходных данных'!$G$285+C93+IF('Ввод исходных данных'!$D$159=0,7,10)</f>
        <v>431.11799999999999</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t="str">
        <f t="shared" ca="1" si="39"/>
        <v/>
      </c>
      <c r="M93" s="1364">
        <f t="shared" ca="1" si="40"/>
        <v>431.11799999999999</v>
      </c>
      <c r="N93" s="13">
        <f t="shared" ca="1" si="43"/>
        <v>1.9963069287660569E-2</v>
      </c>
      <c r="O93" s="13">
        <f t="shared" ca="1" si="44"/>
        <v>137.15287254901961</v>
      </c>
      <c r="P93" s="1366">
        <f t="shared" ca="1" si="44"/>
        <v>249.72312254901959</v>
      </c>
      <c r="Q93" s="13">
        <f t="shared" ca="1" si="45"/>
        <v>7.9852277150642276E-3</v>
      </c>
      <c r="R93" s="13">
        <f t="shared" ca="1" si="46"/>
        <v>54.861149019607844</v>
      </c>
      <c r="S93" s="1366">
        <f t="shared" ca="1" si="46"/>
        <v>99.889249019607846</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3">
        <v>0.9</v>
      </c>
      <c r="B94" s="13">
        <f t="shared" si="30"/>
        <v>6.0999999999999999E-2</v>
      </c>
      <c r="C94" s="1364">
        <f t="shared" si="31"/>
        <v>107.7</v>
      </c>
      <c r="D94" s="1364">
        <f ca="1">B94*'Ввод исходных данных'!$G$285+C94+IF('Ввод исходных данных'!$D$159=0,7,10)</f>
        <v>431.11799999999999</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t="str">
        <f t="shared" ca="1" si="39"/>
        <v/>
      </c>
      <c r="M94" s="1364">
        <f t="shared" ca="1" si="40"/>
        <v>431.11799999999999</v>
      </c>
      <c r="N94" s="13">
        <f t="shared" ca="1" si="43"/>
        <v>1.9963069287660569E-2</v>
      </c>
      <c r="O94" s="13">
        <f t="shared" ca="1" si="44"/>
        <v>137.15287254901961</v>
      </c>
      <c r="P94" s="1366">
        <f t="shared" ca="1" si="44"/>
        <v>249.72312254901959</v>
      </c>
      <c r="Q94" s="13">
        <f t="shared" ca="1" si="45"/>
        <v>7.9852277150642276E-3</v>
      </c>
      <c r="R94" s="13">
        <f t="shared" ca="1" si="46"/>
        <v>54.861149019607844</v>
      </c>
      <c r="S94" s="1366">
        <f t="shared" ca="1" si="46"/>
        <v>99.889249019607846</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3">
        <v>0.91</v>
      </c>
      <c r="B95" s="13">
        <f t="shared" si="30"/>
        <v>6.3E-2</v>
      </c>
      <c r="C95" s="1364">
        <f t="shared" si="31"/>
        <v>109.6</v>
      </c>
      <c r="D95" s="1364">
        <f ca="1">B95*'Ввод исходных данных'!$G$285+C95+IF('Ввод исходных данных'!$D$159=0,7,10)</f>
        <v>443.29399999999998</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t="str">
        <f t="shared" ca="1" si="39"/>
        <v/>
      </c>
      <c r="M95" s="1364">
        <f t="shared" ca="1" si="40"/>
        <v>443.29399999999998</v>
      </c>
      <c r="N95" s="13">
        <f t="shared" ca="1" si="43"/>
        <v>1.9963069287660569E-2</v>
      </c>
      <c r="O95" s="13">
        <f t="shared" ca="1" si="44"/>
        <v>137.15287254901961</v>
      </c>
      <c r="P95" s="1366">
        <f t="shared" ca="1" si="44"/>
        <v>249.72312254901959</v>
      </c>
      <c r="Q95" s="13">
        <f t="shared" ca="1" si="45"/>
        <v>7.9852277150642276E-3</v>
      </c>
      <c r="R95" s="13">
        <f t="shared" ca="1" si="46"/>
        <v>54.861149019607844</v>
      </c>
      <c r="S95" s="1366">
        <f t="shared" ca="1" si="46"/>
        <v>99.889249019607846</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3">
        <v>0.92</v>
      </c>
      <c r="B96" s="13">
        <f t="shared" si="30"/>
        <v>6.3E-2</v>
      </c>
      <c r="C96" s="1364">
        <f t="shared" si="31"/>
        <v>109.6</v>
      </c>
      <c r="D96" s="1364">
        <f ca="1">B96*'Ввод исходных данных'!$G$285+C96+IF('Ввод исходных данных'!$D$159=0,7,10)</f>
        <v>443.29399999999998</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t="str">
        <f t="shared" ca="1" si="39"/>
        <v/>
      </c>
      <c r="M96" s="1364">
        <f t="shared" ca="1" si="40"/>
        <v>443.29399999999998</v>
      </c>
      <c r="N96" s="13">
        <f t="shared" ca="1" si="43"/>
        <v>1.9963069287660569E-2</v>
      </c>
      <c r="O96" s="13">
        <f t="shared" ca="1" si="44"/>
        <v>137.15287254901961</v>
      </c>
      <c r="P96" s="1366">
        <f t="shared" ca="1" si="44"/>
        <v>249.72312254901959</v>
      </c>
      <c r="Q96" s="13">
        <f t="shared" ca="1" si="45"/>
        <v>7.9852277150642276E-3</v>
      </c>
      <c r="R96" s="13">
        <f t="shared" ca="1" si="46"/>
        <v>54.861149019607844</v>
      </c>
      <c r="S96" s="1366">
        <f t="shared" ca="1" si="46"/>
        <v>99.889249019607846</v>
      </c>
      <c r="U96" s="13" t="str">
        <f t="shared" ca="1" si="26"/>
        <v/>
      </c>
      <c r="V96" s="13" t="str">
        <f t="shared" si="27"/>
        <v/>
      </c>
      <c r="W96" s="13" t="str">
        <f t="shared" ca="1" si="41"/>
        <v/>
      </c>
      <c r="Y96" s="13" t="str">
        <f t="shared" ca="1" si="28"/>
        <v/>
      </c>
      <c r="Z96" s="13" t="str">
        <f t="shared" ca="1" si="29"/>
        <v/>
      </c>
      <c r="AA96" s="13" t="str">
        <f t="shared" ca="1" si="42"/>
        <v/>
      </c>
    </row>
    <row r="97" spans="1:27" x14ac:dyDescent="0.25">
      <c r="A97" s="1363">
        <v>0.93</v>
      </c>
      <c r="B97" s="13">
        <f t="shared" si="30"/>
        <v>6.7000000000000004E-2</v>
      </c>
      <c r="C97" s="1364">
        <f t="shared" si="31"/>
        <v>113</v>
      </c>
      <c r="D97" s="1364">
        <f ca="1">B97*'Ввод исходных данных'!$G$285+C97+IF('Ввод исходных данных'!$D$159=0,7,10)</f>
        <v>467.24600000000004</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t="str">
        <f t="shared" ca="1" si="39"/>
        <v/>
      </c>
      <c r="M97" s="1364">
        <f t="shared" ca="1" si="40"/>
        <v>467.24600000000004</v>
      </c>
      <c r="N97" s="13">
        <f t="shared" ca="1" si="43"/>
        <v>1.9963069287660569E-2</v>
      </c>
      <c r="O97" s="13">
        <f t="shared" ca="1" si="44"/>
        <v>137.15287254901961</v>
      </c>
      <c r="P97" s="1366">
        <f t="shared" ca="1" si="44"/>
        <v>249.72312254901959</v>
      </c>
      <c r="Q97" s="13">
        <f t="shared" ca="1" si="45"/>
        <v>7.9852277150642276E-3</v>
      </c>
      <c r="R97" s="13">
        <f t="shared" ca="1" si="46"/>
        <v>54.861149019607844</v>
      </c>
      <c r="S97" s="1366">
        <f t="shared" ca="1" si="46"/>
        <v>99.889249019607846</v>
      </c>
      <c r="U97" s="13" t="str">
        <f t="shared" ca="1" si="26"/>
        <v/>
      </c>
      <c r="V97" s="13" t="str">
        <f t="shared" si="27"/>
        <v/>
      </c>
      <c r="W97" s="13" t="str">
        <f t="shared" ca="1" si="41"/>
        <v/>
      </c>
      <c r="Y97" s="13" t="str">
        <f t="shared" ca="1" si="28"/>
        <v/>
      </c>
      <c r="Z97" s="13" t="str">
        <f t="shared" ca="1" si="29"/>
        <v/>
      </c>
      <c r="AA97" s="13" t="str">
        <f t="shared" ca="1" si="42"/>
        <v/>
      </c>
    </row>
    <row r="98" spans="1:27" x14ac:dyDescent="0.25">
      <c r="A98" s="1363">
        <v>0.94</v>
      </c>
      <c r="B98" s="13">
        <f t="shared" si="30"/>
        <v>6.7000000000000004E-2</v>
      </c>
      <c r="C98" s="1364">
        <f t="shared" si="31"/>
        <v>113</v>
      </c>
      <c r="D98" s="1364">
        <f ca="1">B98*'Ввод исходных данных'!$G$285+C98+IF('Ввод исходных данных'!$D$159=0,7,10)</f>
        <v>467.24600000000004</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t="str">
        <f t="shared" ca="1" si="39"/>
        <v/>
      </c>
      <c r="M98" s="1364">
        <f t="shared" ca="1" si="40"/>
        <v>467.24600000000004</v>
      </c>
      <c r="N98" s="13">
        <f t="shared" ca="1" si="43"/>
        <v>1.9963069287660569E-2</v>
      </c>
      <c r="O98" s="13">
        <f t="shared" ca="1" si="44"/>
        <v>137.15287254901961</v>
      </c>
      <c r="P98" s="1366">
        <f t="shared" ca="1" si="44"/>
        <v>249.72312254901959</v>
      </c>
      <c r="Q98" s="13">
        <f t="shared" ca="1" si="45"/>
        <v>7.9852277150642276E-3</v>
      </c>
      <c r="R98" s="13">
        <f t="shared" ca="1" si="46"/>
        <v>54.861149019607844</v>
      </c>
      <c r="S98" s="1366">
        <f t="shared" ca="1" si="46"/>
        <v>99.889249019607846</v>
      </c>
      <c r="U98" s="13" t="str">
        <f t="shared" ca="1" si="26"/>
        <v/>
      </c>
      <c r="V98" s="13" t="str">
        <f t="shared" si="27"/>
        <v/>
      </c>
      <c r="W98" s="13" t="str">
        <f t="shared" ca="1" si="41"/>
        <v/>
      </c>
      <c r="Y98" s="13" t="str">
        <f t="shared" ca="1" si="28"/>
        <v/>
      </c>
      <c r="Z98" s="13" t="str">
        <f t="shared" ca="1" si="29"/>
        <v/>
      </c>
      <c r="AA98" s="13" t="str">
        <f t="shared" ca="1" si="42"/>
        <v/>
      </c>
    </row>
    <row r="99" spans="1:27" x14ac:dyDescent="0.25">
      <c r="A99" s="1363">
        <v>0.95</v>
      </c>
      <c r="B99" s="13">
        <f t="shared" si="30"/>
        <v>6.9000000000000006E-2</v>
      </c>
      <c r="C99" s="1364">
        <f t="shared" si="31"/>
        <v>117.8</v>
      </c>
      <c r="D99" s="1364">
        <f ca="1">B99*'Ввод исходных данных'!$G$285+C99+IF('Ввод исходных данных'!$D$159=0,7,10)</f>
        <v>482.32200000000006</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482.32200000000006</v>
      </c>
      <c r="N99" s="13">
        <f t="shared" ca="1" si="43"/>
        <v>1.9963069287660569E-2</v>
      </c>
      <c r="O99" s="13">
        <f t="shared" ca="1" si="44"/>
        <v>137.15287254901961</v>
      </c>
      <c r="P99" s="1366">
        <f t="shared" ca="1" si="44"/>
        <v>249.72312254901959</v>
      </c>
      <c r="Q99" s="13">
        <f t="shared" ca="1" si="45"/>
        <v>7.9852277150642276E-3</v>
      </c>
      <c r="R99" s="13">
        <f t="shared" ca="1" si="46"/>
        <v>54.861149019607844</v>
      </c>
      <c r="S99" s="1366">
        <f t="shared" ca="1" si="46"/>
        <v>99.889249019607846</v>
      </c>
      <c r="U99" s="13" t="str">
        <f t="shared" ca="1" si="26"/>
        <v/>
      </c>
      <c r="V99" s="13" t="str">
        <f t="shared" si="27"/>
        <v/>
      </c>
      <c r="W99" s="13" t="str">
        <f t="shared" ca="1" si="41"/>
        <v/>
      </c>
      <c r="Y99" s="13" t="str">
        <f t="shared" ca="1" si="28"/>
        <v/>
      </c>
      <c r="Z99" s="13" t="str">
        <f t="shared" ca="1" si="29"/>
        <v/>
      </c>
      <c r="AA99" s="13" t="str">
        <f t="shared" ca="1" si="42"/>
        <v/>
      </c>
    </row>
    <row r="100" spans="1:27" x14ac:dyDescent="0.25">
      <c r="A100" s="1363">
        <v>0.96</v>
      </c>
      <c r="B100" s="13">
        <f t="shared" si="30"/>
        <v>7.0000000000000007E-2</v>
      </c>
      <c r="C100" s="1364">
        <f t="shared" si="31"/>
        <v>124.3</v>
      </c>
      <c r="D100" s="1364">
        <f ca="1">B100*'Ввод исходных данных'!$G$285+C100+IF('Ввод исходных данных'!$D$159=0,7,10)</f>
        <v>493.96000000000004</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493.96000000000004</v>
      </c>
      <c r="N100" s="13">
        <f t="shared" ca="1" si="43"/>
        <v>1.9963069287660569E-2</v>
      </c>
      <c r="O100" s="13">
        <f t="shared" ca="1" si="44"/>
        <v>137.15287254901961</v>
      </c>
      <c r="P100" s="1366">
        <f t="shared" ca="1" si="44"/>
        <v>249.72312254901959</v>
      </c>
      <c r="Q100" s="13">
        <f t="shared" ca="1" si="45"/>
        <v>7.9852277150642276E-3</v>
      </c>
      <c r="R100" s="13">
        <f t="shared" ca="1" si="46"/>
        <v>54.861149019607844</v>
      </c>
      <c r="S100" s="1366">
        <f t="shared" ca="1" si="46"/>
        <v>99.889249019607846</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3">
        <v>0.97</v>
      </c>
      <c r="B101" s="13">
        <f t="shared" si="30"/>
        <v>7.0999999999999994E-2</v>
      </c>
      <c r="C101" s="1364">
        <f t="shared" si="31"/>
        <v>124.3</v>
      </c>
      <c r="D101" s="1364">
        <f ca="1">B101*'Ввод исходных данных'!$G$285+C101+IF('Ввод исходных данных'!$D$159=0,7,10)</f>
        <v>499.09799999999996</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499.09799999999996</v>
      </c>
      <c r="N101" s="13">
        <f t="shared" ca="1" si="43"/>
        <v>1.9963069287660569E-2</v>
      </c>
      <c r="O101" s="13">
        <f t="shared" ca="1" si="44"/>
        <v>137.15287254901961</v>
      </c>
      <c r="P101" s="1366">
        <f t="shared" ca="1" si="44"/>
        <v>249.72312254901959</v>
      </c>
      <c r="Q101" s="13">
        <f t="shared" ca="1" si="45"/>
        <v>7.9852277150642276E-3</v>
      </c>
      <c r="R101" s="13">
        <f t="shared" ca="1" si="46"/>
        <v>54.861149019607844</v>
      </c>
      <c r="S101" s="1366">
        <f t="shared" ca="1" si="46"/>
        <v>99.889249019607846</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3">
        <v>0.98</v>
      </c>
      <c r="B102" s="13">
        <f t="shared" si="30"/>
        <v>7.3999999999999996E-2</v>
      </c>
      <c r="C102" s="1364">
        <f t="shared" si="31"/>
        <v>140.9</v>
      </c>
      <c r="D102" s="1364">
        <f ca="1">B102*'Ввод исходных данных'!$G$285+C102+IF('Ввод исходных данных'!$D$159=0,7,10)</f>
        <v>531.11199999999997</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531.11199999999997</v>
      </c>
      <c r="N102" s="13">
        <f t="shared" ca="1" si="43"/>
        <v>1.9963069287660569E-2</v>
      </c>
      <c r="O102" s="13">
        <f t="shared" ca="1" si="44"/>
        <v>137.15287254901961</v>
      </c>
      <c r="P102" s="1366">
        <f t="shared" ca="1" si="44"/>
        <v>249.72312254901959</v>
      </c>
      <c r="Q102" s="13">
        <f t="shared" ca="1" si="45"/>
        <v>7.9852277150642276E-3</v>
      </c>
      <c r="R102" s="13">
        <f t="shared" ca="1" si="46"/>
        <v>54.861149019607844</v>
      </c>
      <c r="S102" s="1366">
        <f t="shared" ca="1" si="46"/>
        <v>99.889249019607846</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3">
        <v>0.99</v>
      </c>
      <c r="B103" s="13">
        <f t="shared" si="30"/>
        <v>7.5999999999999998E-2</v>
      </c>
      <c r="C103" s="1364">
        <f t="shared" si="31"/>
        <v>140.9</v>
      </c>
      <c r="D103" s="1364">
        <f ca="1">B103*'Ввод исходных данных'!$G$285+C103+IF('Ввод исходных данных'!$D$159=0,7,10)</f>
        <v>541.38800000000003</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541.38800000000003</v>
      </c>
      <c r="N103" s="13">
        <f t="shared" ca="1" si="43"/>
        <v>1.9963069287660569E-2</v>
      </c>
      <c r="O103" s="13">
        <f t="shared" ca="1" si="44"/>
        <v>137.15287254901961</v>
      </c>
      <c r="P103" s="1366">
        <f t="shared" ca="1" si="44"/>
        <v>249.72312254901959</v>
      </c>
      <c r="Q103" s="13">
        <f t="shared" ca="1" si="45"/>
        <v>7.9852277150642276E-3</v>
      </c>
      <c r="R103" s="13">
        <f t="shared" ca="1" si="46"/>
        <v>54.861149019607844</v>
      </c>
      <c r="S103" s="1366">
        <f t="shared" ca="1" si="46"/>
        <v>99.889249019607846</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8.2000000000000003E-2</v>
      </c>
      <c r="C104" s="1364">
        <f t="shared" si="31"/>
        <v>179.6</v>
      </c>
      <c r="D104" s="1364">
        <f ca="1">B104*'Ввод исходных данных'!$G$285+C104+IF('Ввод исходных данных'!$D$159=0,7,10)</f>
        <v>610.91600000000005</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610.91600000000005</v>
      </c>
      <c r="N104" s="13">
        <f t="shared" ca="1" si="43"/>
        <v>1.9963069287660569E-2</v>
      </c>
      <c r="O104" s="13">
        <f t="shared" ca="1" si="44"/>
        <v>137.15287254901961</v>
      </c>
      <c r="P104" s="1366">
        <f t="shared" ca="1" si="44"/>
        <v>249.72312254901959</v>
      </c>
      <c r="Q104" s="13">
        <f t="shared" ca="1" si="45"/>
        <v>7.9852277150642276E-3</v>
      </c>
      <c r="R104" s="13">
        <f t="shared" ca="1" si="46"/>
        <v>54.861149019607844</v>
      </c>
      <c r="S104" s="1366">
        <f t="shared" ca="1" si="46"/>
        <v>99.889249019607846</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1</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1.6E-2</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1.7000000000000001E-2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1.7999999999999999E-2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2.1000000000000001E-2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2.1999999999999999E-2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2.1999999999999999E-2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2.5999999999999999E-2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2.5999999999999999E-2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2.8000000000000001E-2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2.8000000000000001E-2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2.9000000000000001E-2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2.9000000000000001E-2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3.1E-2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3.1E-2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3.2000000000000001E-2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3.2000000000000001E-2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3.3000000000000002E-2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3.3000000000000002E-2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3.4000000000000002E-2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3.4000000000000002E-2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3.4000000000000002E-2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3.4000000000000002E-2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3.5000000000000003E-2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3.5000000000000003E-2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3.5999999999999997E-2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3.5999999999999997E-2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3.6999999999999998E-2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3.6999999999999998E-2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3.6999999999999998E-2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3.6999999999999998E-2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3.7999999999999999E-2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3.7999999999999999E-2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3.9E-2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3.9E-2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3.9E-2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3.9E-2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0.04</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0.04</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4.1000000000000002E-2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4.1000000000000002E-2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4.1000000000000002E-2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4.1000000000000002E-2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4.2000000000000003E-2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4.2000000000000003E-2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4.2999999999999997E-2</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4.2999999999999997E-2</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4.2999999999999997E-2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4.2999999999999997E-2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4.3999999999999997E-2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4.3999999999999997E-2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4.4999999999999998E-2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4.4999999999999998E-2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4.4999999999999998E-2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4.4999999999999998E-2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4.5999999999999999E-2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4.5999999999999999E-2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4.7E-2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4.7E-2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4.7E-2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4.7E-2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4.8000000000000001E-2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4.8000000000000001E-2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4.9000000000000002E-2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4.9000000000000002E-2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4.9000000000000002E-2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4.9000000000000002E-2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0.05</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0.05</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5.0999999999999997E-2</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5.0999999999999997E-2</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5.1999999999999998E-2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5.1999999999999998E-2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5.1999999999999998E-2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5.1999999999999998E-2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5.2999999999999999E-2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5.2999999999999999E-2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5.3999999999999999E-2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5.3999999999999999E-2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5.5E-2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5.5E-2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5.6000000000000001E-2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5.6000000000000001E-2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5.7000000000000002E-2</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5.7000000000000002E-2</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5.8000000000000003E-2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5.8000000000000003E-2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6.0999999999999999E-2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6.0999999999999999E-2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6.3E-2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6.3E-2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6.7000000000000004E-2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6.7000000000000004E-2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6.9000000000000006E-2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7.0000000000000007E-2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7.0999999999999994E-2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7.3999999999999996E-2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7.5999999999999998E-2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8.2000000000000003E-2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0.1</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3.2815801524969664E-2</v>
      </c>
      <c r="C210" s="13">
        <f ca="1">B210</f>
        <v>3.2815801524969664E-2</v>
      </c>
      <c r="D210">
        <f ca="1">AVERAGE('классы ЭЭ и выбросы ПГ'!$Z$53:$AA$53)</f>
        <v>2.8711975934788088E-2</v>
      </c>
      <c r="E210" s="13">
        <f ca="1">D210</f>
        <v>2.8711975934788088E-2</v>
      </c>
      <c r="F210" s="13">
        <f ca="1">AVERAGE('классы ЭЭ и выбросы ПГ'!$AB$53:$AC$53)</f>
        <v>2.3251310878574863E-2</v>
      </c>
      <c r="G210" s="13">
        <f ca="1">F210</f>
        <v>2.3251310878574863E-2</v>
      </c>
      <c r="H210" s="13">
        <f ca="1">AVERAGE('классы ЭЭ и выбросы ПГ'!$AD$53:$AE$53)</f>
        <v>2.1052981819430768E-2</v>
      </c>
      <c r="I210" s="13">
        <f ca="1">H210</f>
        <v>2.1052981819430768E-2</v>
      </c>
      <c r="J210" s="13">
        <f ca="1">AVERAGE('классы ЭЭ и выбросы ПГ'!$AF$53:$AG$53)</f>
        <v>1.9963069287660569E-2</v>
      </c>
      <c r="K210" s="13">
        <f ca="1">J210</f>
        <v>1.9963069287660569E-2</v>
      </c>
      <c r="L210" s="13">
        <f ca="1">AVERAGE('классы ЭЭ и выбросы ПГ'!$AH$53:$AN$53)</f>
        <v>1.8607827872293335E-2</v>
      </c>
      <c r="M210" s="13">
        <f ca="1">L210</f>
        <v>1.8607827872293335E-2</v>
      </c>
    </row>
    <row r="211" spans="1:14" s="13" customFormat="1" x14ac:dyDescent="0.25">
      <c r="A211" s="13" t="s">
        <v>1855</v>
      </c>
      <c r="B211" s="13">
        <f ca="1">0.4*B210</f>
        <v>1.3126320609987866E-2</v>
      </c>
      <c r="C211" s="13">
        <f t="shared" ref="C211:M211" ca="1" si="49">0.4*C210</f>
        <v>1.3126320609987866E-2</v>
      </c>
      <c r="D211" s="13">
        <f t="shared" ca="1" si="49"/>
        <v>1.1484790373915236E-2</v>
      </c>
      <c r="E211" s="13">
        <f t="shared" ca="1" si="49"/>
        <v>1.1484790373915236E-2</v>
      </c>
      <c r="F211" s="13">
        <f t="shared" ca="1" si="49"/>
        <v>9.3005243514299452E-3</v>
      </c>
      <c r="G211" s="13">
        <f t="shared" ca="1" si="49"/>
        <v>9.3005243514299452E-3</v>
      </c>
      <c r="H211" s="13">
        <f t="shared" ca="1" si="49"/>
        <v>8.4211927277723069E-3</v>
      </c>
      <c r="I211" s="13">
        <f t="shared" ca="1" si="49"/>
        <v>8.4211927277723069E-3</v>
      </c>
      <c r="J211" s="13">
        <f t="shared" ca="1" si="49"/>
        <v>7.9852277150642276E-3</v>
      </c>
      <c r="K211" s="13">
        <f t="shared" ca="1" si="49"/>
        <v>7.9852277150642276E-3</v>
      </c>
      <c r="L211" s="13">
        <f t="shared" ca="1" si="49"/>
        <v>7.4431311489173346E-3</v>
      </c>
      <c r="M211" s="13">
        <f t="shared" ca="1" si="49"/>
        <v>7.4431311489173346E-3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21.8</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21.8</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21.8</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29.6</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29.6</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34.5</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34.5</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34.5</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37.1</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37.1</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40.700000000000003</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40.700000000000003</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43.8</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43.8</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45.6</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45.6</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47.4</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47.4</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49.4</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49.4</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51.7</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51.7</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54.2</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54.2</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55.8</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55.8</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57.5</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57.5</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58.8</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58.8</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60.2</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60.2</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62.2</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62.2</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63.5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63.5</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65.5</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65.5</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67.2</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67.2</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68.900000000000006</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68.900000000000006</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70.3</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70.3</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71.400000000000006</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71.400000000000006</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72.8</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72.8</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74.3</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74.3</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75.2</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75.2</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76.400000000000006</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76.400000000000006</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78.5</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78.5</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80.599999999999994</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80.599999999999994</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83</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83</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84.9</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84.9</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86.4</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86.4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87.9</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87.9</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89.6</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89.6</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91.3</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91.3</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92.7</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92.7</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94</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94</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95.7</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95.7</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97.4</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97.4</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99.2</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99.2</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101.4</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101.4</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102.8</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102.8</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104.2</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104.2</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105.7</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105.7</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107.7</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107.7</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109.6</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109.6</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113</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113</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117.8</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124.3</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124.3</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140.9</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140.9</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179.6</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179.6</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109.61884313725491</v>
      </c>
      <c r="C315" s="13">
        <f ca="1">B315</f>
        <v>109.61884313725491</v>
      </c>
      <c r="D315" s="13">
        <f ca="1">AVERAGE('классы ЭЭ и выбросы ПГ'!$Z$54:$AA$54)</f>
        <v>114.67340196078433</v>
      </c>
      <c r="E315" s="13">
        <f ca="1">D315</f>
        <v>114.67340196078433</v>
      </c>
      <c r="F315" s="13">
        <f ca="1">AVERAGE('классы ЭЭ и выбросы ПГ'!$AB$54:$AC$54)</f>
        <v>132.06838725490195</v>
      </c>
      <c r="G315" s="13">
        <f ca="1">F315</f>
        <v>132.06838725490195</v>
      </c>
      <c r="H315" s="13">
        <f ca="1">AVERAGE('классы ЭЭ и выбросы ПГ'!$AD$54:$AE$54)</f>
        <v>137.25615686274509</v>
      </c>
      <c r="I315" s="13">
        <f ca="1">H315</f>
        <v>137.25615686274509</v>
      </c>
      <c r="J315" s="13">
        <f ca="1">AVERAGE('классы ЭЭ и выбросы ПГ'!$AF$54:$AG$54)</f>
        <v>137.15287254901961</v>
      </c>
      <c r="K315" s="13">
        <f ca="1">J315</f>
        <v>137.15287254901961</v>
      </c>
      <c r="L315" s="13">
        <f ca="1">AVERAGE('классы ЭЭ и выбросы ПГ'!$AH$54:$AN$54)</f>
        <v>136.99337254901963</v>
      </c>
      <c r="M315" s="13">
        <f ca="1">L315</f>
        <v>136.99337254901963</v>
      </c>
    </row>
    <row r="316" spans="1:14" s="13" customFormat="1" x14ac:dyDescent="0.25">
      <c r="A316" s="13" t="s">
        <v>1855</v>
      </c>
      <c r="B316" s="13">
        <f t="shared" ref="B316:M316" ca="1" si="54">0.4*B315</f>
        <v>43.847537254901965</v>
      </c>
      <c r="C316" s="13">
        <f t="shared" ca="1" si="54"/>
        <v>43.847537254901965</v>
      </c>
      <c r="D316" s="13">
        <f t="shared" ca="1" si="54"/>
        <v>45.869360784313734</v>
      </c>
      <c r="E316" s="13">
        <f t="shared" ca="1" si="54"/>
        <v>45.869360784313734</v>
      </c>
      <c r="F316" s="13">
        <f t="shared" ca="1" si="54"/>
        <v>52.827354901960781</v>
      </c>
      <c r="G316" s="13">
        <f t="shared" ca="1" si="54"/>
        <v>52.827354901960781</v>
      </c>
      <c r="H316" s="13">
        <f t="shared" ca="1" si="54"/>
        <v>54.902462745098035</v>
      </c>
      <c r="I316" s="13">
        <f t="shared" ca="1" si="54"/>
        <v>54.902462745098035</v>
      </c>
      <c r="J316" s="13">
        <f t="shared" ca="1" si="54"/>
        <v>54.861149019607844</v>
      </c>
      <c r="K316" s="13">
        <f t="shared" ca="1" si="54"/>
        <v>54.861149019607844</v>
      </c>
      <c r="L316" s="13">
        <f t="shared" ca="1" si="54"/>
        <v>54.79734901960785</v>
      </c>
      <c r="M316" s="13">
        <f t="shared" ca="1" si="54"/>
        <v>54.79734901960785</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2.8000000000000001E-2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2.9000000000000001E-2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2.9000000000000001E-2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0.03</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3.1E-2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3.2000000000000001E-2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3.2000000000000001E-2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3.3000000000000002E-2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3.3000000000000002E-2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3.4000000000000002E-2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3.4000000000000002E-2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3.5000000000000003E-2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3.5000000000000003E-2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3.5999999999999997E-2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3.5999999999999997E-2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3.5999999999999997E-2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3.5999999999999997E-2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3.6999999999999998E-2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3.6999999999999998E-2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3.7999999999999999E-2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3.7999999999999999E-2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3.9E-2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3.9E-2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0.04</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0.04</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0.04</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0.04</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4.1000000000000002E-2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4.1000000000000002E-2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4.1000000000000002E-2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4.1000000000000002E-2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4.2000000000000003E-2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4.2000000000000003E-2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4.2999999999999997E-2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4.2999999999999997E-2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4.2999999999999997E-2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4.2999999999999997E-2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4.3999999999999997E-2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4.3999999999999997E-2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4.4999999999999998E-2</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4.4999999999999998E-2</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4.4999999999999998E-2</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4.4999999999999998E-2</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4.5999999999999999E-2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4.5999999999999999E-2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4.5999999999999999E-2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4.5999999999999999E-2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4.7E-2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4.7E-2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4.8000000000000001E-2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4.8000000000000001E-2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4.8000000000000001E-2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4.8000000000000001E-2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4.9000000000000002E-2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4.9000000000000002E-2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4.9000000000000002E-2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4.9000000000000002E-2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0.05</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0.05</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0.05</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0.05</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5.0999999999999997E-2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5.0999999999999997E-2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5.0999999999999997E-2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5.0999999999999997E-2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5.1999999999999998E-2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5.1999999999999998E-2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5.2999999999999999E-2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5.2999999999999999E-2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5.3999999999999999E-2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5.3999999999999999E-2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5.3999999999999999E-2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5.3999999999999999E-2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5.5E-2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5.5E-2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5.6000000000000001E-2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5.6000000000000001E-2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5.8000000000000003E-2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5.8000000000000003E-2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5.8000000000000003E-2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5.8000000000000003E-2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5.8999999999999997E-2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5.8999999999999997E-2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0.06</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0.06</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6.2E-2</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6.2E-2</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6.4000000000000001E-2</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6.4000000000000001E-2</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6.6000000000000003E-2</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6.6000000000000003E-2</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6.9000000000000006E-2</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6.9000000000000006E-2</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7.0999999999999994E-2</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7.1999999999999995E-2</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7.2999999999999995E-2</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7.4999999999999997E-2</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7.8E-2</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9.4E-2</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0.12</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5.6097008830780268E-2</v>
      </c>
      <c r="C420" s="13">
        <f ca="1">B420</f>
        <v>5.6097008830780268E-2</v>
      </c>
      <c r="D420" s="13">
        <f ca="1">AVERAGE('классы ЭЭ и выбросы ПГ'!$Z$51:$AA$51)</f>
        <v>5.2976943229607922E-2</v>
      </c>
      <c r="E420" s="13">
        <f ca="1">D420</f>
        <v>5.2976943229607922E-2</v>
      </c>
      <c r="F420" s="13">
        <f ca="1">AVERAGE('классы ЭЭ и выбросы ПГ'!$AB$51:$AC$51)</f>
        <v>5.0901833894320667E-2</v>
      </c>
      <c r="G420" s="13">
        <f ca="1">F420</f>
        <v>5.0901833894320667E-2</v>
      </c>
      <c r="H420" s="13">
        <f ca="1">AVERAGE('классы ЭЭ и выбросы ПГ'!$AD$51:$AE$51)</f>
        <v>4.9713191407353127E-2</v>
      </c>
      <c r="I420" s="13">
        <f ca="1">H420</f>
        <v>4.9713191407353127E-2</v>
      </c>
      <c r="J420" s="13">
        <f ca="1">AVERAGE('классы ЭЭ и выбросы ПГ'!$AF$51:$AG$51)</f>
        <v>4.860317682931483E-2</v>
      </c>
      <c r="K420" s="13">
        <f ca="1">J420</f>
        <v>4.860317682931483E-2</v>
      </c>
      <c r="L420" s="13">
        <f ca="1">AVERAGE('классы ЭЭ и выбросы ПГ'!$AH$51:$AN$51)</f>
        <v>4.7216892206473862E-2</v>
      </c>
      <c r="M420" s="13">
        <f ca="1">L420</f>
        <v>4.7216892206473862E-2</v>
      </c>
      <c r="N420" s="13">
        <f t="shared" ca="1" si="56"/>
        <v>4.860317682931483E-2</v>
      </c>
    </row>
    <row r="421" spans="1:14" s="13" customFormat="1" x14ac:dyDescent="0.25">
      <c r="A421" s="13" t="s">
        <v>1855</v>
      </c>
      <c r="B421" s="13">
        <f ca="1">B420*0.4</f>
        <v>2.2438803532312108E-2</v>
      </c>
      <c r="C421" s="13">
        <f t="shared" ref="C421:M421" ca="1" si="57">C420*0.4</f>
        <v>2.2438803532312108E-2</v>
      </c>
      <c r="D421" s="13">
        <f t="shared" ca="1" si="57"/>
        <v>2.1190777291843169E-2</v>
      </c>
      <c r="E421" s="13">
        <f t="shared" ca="1" si="57"/>
        <v>2.1190777291843169E-2</v>
      </c>
      <c r="F421" s="13">
        <f t="shared" ca="1" si="57"/>
        <v>2.0360733557728269E-2</v>
      </c>
      <c r="G421" s="13">
        <f t="shared" ca="1" si="57"/>
        <v>2.0360733557728269E-2</v>
      </c>
      <c r="H421" s="13">
        <f t="shared" ca="1" si="57"/>
        <v>1.9885276562941253E-2</v>
      </c>
      <c r="I421" s="13">
        <f t="shared" ca="1" si="57"/>
        <v>1.9885276562941253E-2</v>
      </c>
      <c r="J421" s="13">
        <f t="shared" ca="1" si="57"/>
        <v>1.9441270731725933E-2</v>
      </c>
      <c r="K421" s="13">
        <f t="shared" ca="1" si="57"/>
        <v>1.9441270731725933E-2</v>
      </c>
      <c r="L421" s="13">
        <f t="shared" ca="1" si="57"/>
        <v>1.8886756882589548E-2</v>
      </c>
      <c r="M421" s="13">
        <f t="shared" ca="1" si="57"/>
        <v>1.8886756882589548E-2</v>
      </c>
      <c r="N421" s="13">
        <f t="shared" ca="1" si="56"/>
        <v>1.9441270731725933E-2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2.2438803532312108E-2</v>
      </c>
      <c r="C423" s="13">
        <f t="shared" ca="1" si="58"/>
        <v>2.2438803532312108E-2</v>
      </c>
      <c r="D423" s="13">
        <f t="shared" ca="1" si="58"/>
        <v>2.1190777291843169E-2</v>
      </c>
      <c r="E423" s="13">
        <f t="shared" ca="1" si="58"/>
        <v>2.1190777291843169E-2</v>
      </c>
      <c r="F423" s="13">
        <f t="shared" ca="1" si="58"/>
        <v>2.0360733557728269E-2</v>
      </c>
      <c r="G423" s="13">
        <f t="shared" ca="1" si="58"/>
        <v>2.0360733557728269E-2</v>
      </c>
      <c r="H423" s="13">
        <f t="shared" ca="1" si="58"/>
        <v>1.9885276562941253E-2</v>
      </c>
      <c r="I423" s="13">
        <f t="shared" ca="1" si="58"/>
        <v>1.9885276562941253E-2</v>
      </c>
      <c r="J423" s="13">
        <f t="shared" ca="1" si="58"/>
        <v>1.9441270731725933E-2</v>
      </c>
      <c r="K423" s="13">
        <f t="shared" ca="1" si="58"/>
        <v>1.9441270731725933E-2</v>
      </c>
      <c r="L423" s="13">
        <f t="shared" ca="1" si="58"/>
        <v>1.8886756882589548E-2</v>
      </c>
      <c r="M423" s="13">
        <f t="shared" ca="1" si="58"/>
        <v>1.8886756882589548E-2</v>
      </c>
      <c r="N423" s="13">
        <f ca="1">($B$106*B423+$C$106*C423+$D$106*D423+$E$106*E423+$F$106*F423+$G$106*G423+$H$106*H423+$I$106*I423+$J$106*J423+$K$106*K423+$L$106*L423+$M$106*M423)*'Ввод исходных данных'!$G$285</f>
        <v>99.889249019607846</v>
      </c>
    </row>
    <row r="424" spans="1:14" x14ac:dyDescent="0.25">
      <c r="A424" s="13" t="s">
        <v>1858</v>
      </c>
      <c r="B424">
        <f t="shared" ref="B424:M424" ca="1" si="59">0.5*B420</f>
        <v>2.8048504415390134E-2</v>
      </c>
      <c r="C424" s="13">
        <f t="shared" ca="1" si="59"/>
        <v>2.8048504415390134E-2</v>
      </c>
      <c r="D424" s="13">
        <f t="shared" ca="1" si="59"/>
        <v>2.6488471614803961E-2</v>
      </c>
      <c r="E424" s="13">
        <f t="shared" ca="1" si="59"/>
        <v>2.6488471614803961E-2</v>
      </c>
      <c r="F424" s="13">
        <f t="shared" ca="1" si="59"/>
        <v>2.5450916947160333E-2</v>
      </c>
      <c r="G424" s="13">
        <f t="shared" ca="1" si="59"/>
        <v>2.5450916947160333E-2</v>
      </c>
      <c r="H424" s="13">
        <f t="shared" ca="1" si="59"/>
        <v>2.4856595703676564E-2</v>
      </c>
      <c r="I424" s="13">
        <f t="shared" ca="1" si="59"/>
        <v>2.4856595703676564E-2</v>
      </c>
      <c r="J424" s="13">
        <f t="shared" ca="1" si="59"/>
        <v>2.4301588414657415E-2</v>
      </c>
      <c r="K424" s="13">
        <f t="shared" ca="1" si="59"/>
        <v>2.4301588414657415E-2</v>
      </c>
      <c r="L424" s="13">
        <f t="shared" ca="1" si="59"/>
        <v>2.3608446103236931E-2</v>
      </c>
      <c r="M424" s="13">
        <f t="shared" ca="1" si="59"/>
        <v>2.3608446103236931E-2</v>
      </c>
      <c r="N424" s="13">
        <f ca="1">($B$106*B424+$C$106*C424+$D$106*D424+$E$106*E424+$F$106*F424+$G$106*G424+$H$106*H424+$I$106*I424+$J$106*J424+$K$106*K424+$L$106*L424+$M$106*M424)*'Ввод исходных данных'!$G$285</f>
        <v>124.8615612745098</v>
      </c>
    </row>
    <row r="425" spans="1:14" x14ac:dyDescent="0.25">
      <c r="A425" s="13" t="s">
        <v>563</v>
      </c>
      <c r="B425">
        <f t="shared" ref="B425:M425" ca="1" si="60">0.6*B420</f>
        <v>3.3658205298468157E-2</v>
      </c>
      <c r="C425" s="13">
        <f t="shared" ca="1" si="60"/>
        <v>3.3658205298468157E-2</v>
      </c>
      <c r="D425" s="13">
        <f t="shared" ca="1" si="60"/>
        <v>3.1786165937764753E-2</v>
      </c>
      <c r="E425" s="13">
        <f t="shared" ca="1" si="60"/>
        <v>3.1786165937764753E-2</v>
      </c>
      <c r="F425" s="13">
        <f t="shared" ca="1" si="60"/>
        <v>3.0541100336592398E-2</v>
      </c>
      <c r="G425" s="13">
        <f t="shared" ca="1" si="60"/>
        <v>3.0541100336592398E-2</v>
      </c>
      <c r="H425" s="13">
        <f t="shared" ca="1" si="60"/>
        <v>2.9827914844411874E-2</v>
      </c>
      <c r="I425" s="13">
        <f t="shared" ca="1" si="60"/>
        <v>2.9827914844411874E-2</v>
      </c>
      <c r="J425" s="13">
        <f t="shared" ca="1" si="60"/>
        <v>2.9161906097588897E-2</v>
      </c>
      <c r="K425" s="13">
        <f t="shared" ca="1" si="60"/>
        <v>2.9161906097588897E-2</v>
      </c>
      <c r="L425" s="13">
        <f t="shared" ca="1" si="60"/>
        <v>2.8330135323884315E-2</v>
      </c>
      <c r="M425" s="13">
        <f t="shared" ca="1" si="60"/>
        <v>2.8330135323884315E-2</v>
      </c>
      <c r="N425" s="13">
        <f ca="1">($B$106*B425+$C$106*C425+$D$106*D425+$E$106*E425+$F$106*F425+$G$106*G425+$H$106*H425+$I$106*I425+$J$106*J425+$K$106*K425+$L$106*L425+$M$106*M425)*'Ввод исходных данных'!$G$285</f>
        <v>149.83387352941176</v>
      </c>
    </row>
    <row r="426" spans="1:14" x14ac:dyDescent="0.25">
      <c r="A426" s="13" t="s">
        <v>1789</v>
      </c>
      <c r="B426">
        <f t="shared" ref="B426:M426" ca="1" si="61">0.7*B420</f>
        <v>3.9267906181546186E-2</v>
      </c>
      <c r="C426" s="13">
        <f t="shared" ca="1" si="61"/>
        <v>3.9267906181546186E-2</v>
      </c>
      <c r="D426" s="13">
        <f t="shared" ca="1" si="61"/>
        <v>3.7083860260725542E-2</v>
      </c>
      <c r="E426" s="13">
        <f t="shared" ca="1" si="61"/>
        <v>3.7083860260725542E-2</v>
      </c>
      <c r="F426" s="13">
        <f t="shared" ca="1" si="61"/>
        <v>3.5631283726024462E-2</v>
      </c>
      <c r="G426" s="13">
        <f t="shared" ca="1" si="61"/>
        <v>3.5631283726024462E-2</v>
      </c>
      <c r="H426" s="13">
        <f t="shared" ca="1" si="61"/>
        <v>3.4799233985147185E-2</v>
      </c>
      <c r="I426" s="13">
        <f t="shared" ca="1" si="61"/>
        <v>3.4799233985147185E-2</v>
      </c>
      <c r="J426" s="13">
        <f t="shared" ca="1" si="61"/>
        <v>3.4022223780520382E-2</v>
      </c>
      <c r="K426" s="13">
        <f t="shared" ca="1" si="61"/>
        <v>3.4022223780520382E-2</v>
      </c>
      <c r="L426" s="13">
        <f t="shared" ca="1" si="61"/>
        <v>3.3051824544531698E-2</v>
      </c>
      <c r="M426" s="13">
        <f t="shared" ca="1" si="61"/>
        <v>3.3051824544531698E-2</v>
      </c>
      <c r="N426" s="13">
        <f ca="1">($B$106*B426+$C$106*C426+$D$106*D426+$E$106*E426+$F$106*F426+$G$106*G426+$H$106*H426+$I$106*I426+$J$106*J426+$K$106*K426+$L$106*L426+$M$106*M426)*'Ввод исходных данных'!$G$285</f>
        <v>174.80618578431373</v>
      </c>
    </row>
    <row r="427" spans="1:14" x14ac:dyDescent="0.25">
      <c r="A427" s="13" t="s">
        <v>1790</v>
      </c>
      <c r="B427">
        <f t="shared" ref="B427:M427" ca="1" si="62">0.85*B420</f>
        <v>4.7682457506163227E-2</v>
      </c>
      <c r="C427" s="13">
        <f t="shared" ca="1" si="62"/>
        <v>4.7682457506163227E-2</v>
      </c>
      <c r="D427" s="13">
        <f t="shared" ca="1" si="62"/>
        <v>4.5030401745166732E-2</v>
      </c>
      <c r="E427" s="13">
        <f t="shared" ca="1" si="62"/>
        <v>4.5030401745166732E-2</v>
      </c>
      <c r="F427" s="13">
        <f t="shared" ca="1" si="62"/>
        <v>4.3266558810172565E-2</v>
      </c>
      <c r="G427" s="13">
        <f t="shared" ca="1" si="62"/>
        <v>4.3266558810172565E-2</v>
      </c>
      <c r="H427" s="13">
        <f t="shared" ca="1" si="62"/>
        <v>4.2256212696250156E-2</v>
      </c>
      <c r="I427" s="13">
        <f t="shared" ca="1" si="62"/>
        <v>4.2256212696250156E-2</v>
      </c>
      <c r="J427" s="13">
        <f t="shared" ca="1" si="62"/>
        <v>4.1312700304917606E-2</v>
      </c>
      <c r="K427" s="13">
        <f t="shared" ca="1" si="62"/>
        <v>4.1312700304917606E-2</v>
      </c>
      <c r="L427" s="13">
        <f t="shared" ca="1" si="62"/>
        <v>4.0134358375502784E-2</v>
      </c>
      <c r="M427" s="13">
        <f t="shared" ca="1" si="62"/>
        <v>4.0134358375502784E-2</v>
      </c>
      <c r="N427" s="13">
        <f ca="1">(B$106*B427+$C$106*C427+$D$106*D427+$E$106*E427+$F$106*F427+$G$106*G427+$H$106*H427+$I$106*I427+$J$106*J427+$K$106*K427+$L$106*L427+$M$106*M427)*'Ввод исходных данных'!$G$285</f>
        <v>212.26465416666665</v>
      </c>
    </row>
    <row r="428" spans="1:14" x14ac:dyDescent="0.25">
      <c r="A428" s="13" t="s">
        <v>1791</v>
      </c>
      <c r="B428">
        <f t="shared" ref="B428:M428" ca="1" si="63">B420</f>
        <v>5.6097008830780268E-2</v>
      </c>
      <c r="C428" s="13">
        <f t="shared" ca="1" si="63"/>
        <v>5.6097008830780268E-2</v>
      </c>
      <c r="D428" s="13">
        <f t="shared" ca="1" si="63"/>
        <v>5.2976943229607922E-2</v>
      </c>
      <c r="E428" s="13">
        <f t="shared" ca="1" si="63"/>
        <v>5.2976943229607922E-2</v>
      </c>
      <c r="F428" s="13">
        <f t="shared" ca="1" si="63"/>
        <v>5.0901833894320667E-2</v>
      </c>
      <c r="G428" s="13">
        <f t="shared" ca="1" si="63"/>
        <v>5.0901833894320667E-2</v>
      </c>
      <c r="H428" s="13">
        <f t="shared" ca="1" si="63"/>
        <v>4.9713191407353127E-2</v>
      </c>
      <c r="I428" s="13">
        <f t="shared" ca="1" si="63"/>
        <v>4.9713191407353127E-2</v>
      </c>
      <c r="J428" s="13">
        <f t="shared" ca="1" si="63"/>
        <v>4.860317682931483E-2</v>
      </c>
      <c r="K428" s="13">
        <f t="shared" ca="1" si="63"/>
        <v>4.860317682931483E-2</v>
      </c>
      <c r="L428" s="13">
        <f t="shared" ca="1" si="63"/>
        <v>4.7216892206473862E-2</v>
      </c>
      <c r="M428" s="13">
        <f t="shared" ca="1" si="63"/>
        <v>4.7216892206473862E-2</v>
      </c>
      <c r="N428" s="13">
        <f ca="1">($B$106*B428+$C$106*C428+$D$106*D428+$E$106*E428+$F$106*F428+$G$106*G428+$H$106*H428+$I$106*I428+$J$106*J428+$K$106*K428+$L$106*L428+$M$106*M428)*'Ввод исходных данных'!$G$285</f>
        <v>249.72312254901959</v>
      </c>
    </row>
    <row r="429" spans="1:14" x14ac:dyDescent="0.25">
      <c r="A429" s="13" t="s">
        <v>1792</v>
      </c>
      <c r="B429">
        <f t="shared" ref="B429:M429" ca="1" si="64">B420*1.25</f>
        <v>7.0121261038475338E-2</v>
      </c>
      <c r="C429" s="13">
        <f t="shared" ca="1" si="64"/>
        <v>7.0121261038475338E-2</v>
      </c>
      <c r="D429" s="13">
        <f t="shared" ca="1" si="64"/>
        <v>6.62211790370099E-2</v>
      </c>
      <c r="E429" s="13">
        <f t="shared" ca="1" si="64"/>
        <v>6.62211790370099E-2</v>
      </c>
      <c r="F429" s="13">
        <f t="shared" ca="1" si="64"/>
        <v>6.3627292367900837E-2</v>
      </c>
      <c r="G429" s="13">
        <f t="shared" ca="1" si="64"/>
        <v>6.3627292367900837E-2</v>
      </c>
      <c r="H429" s="13">
        <f t="shared" ca="1" si="64"/>
        <v>6.2141489259191413E-2</v>
      </c>
      <c r="I429" s="13">
        <f t="shared" ca="1" si="64"/>
        <v>6.2141489259191413E-2</v>
      </c>
      <c r="J429" s="13">
        <f t="shared" ca="1" si="64"/>
        <v>6.0753971036643539E-2</v>
      </c>
      <c r="K429" s="13">
        <f t="shared" ca="1" si="64"/>
        <v>6.0753971036643539E-2</v>
      </c>
      <c r="L429" s="13">
        <f t="shared" ca="1" si="64"/>
        <v>5.9021115258092324E-2</v>
      </c>
      <c r="M429" s="13">
        <f t="shared" ca="1" si="64"/>
        <v>5.9021115258092324E-2</v>
      </c>
      <c r="N429" s="13">
        <f ca="1">($B$106*B429+$C$106*C429+$D$106*D429+$E$106*E429+$F$106*F429+$G$106*G429+$H$106*H429+$I$106*I429+$J$106*J429+$K$106*K429+$L$106*L429+$M$106*M429)*'Ввод исходных данных'!$G$285</f>
        <v>312.15390318627448</v>
      </c>
    </row>
    <row r="430" spans="1:14" x14ac:dyDescent="0.25">
      <c r="A430" s="13" t="s">
        <v>1793</v>
      </c>
      <c r="B430">
        <f t="shared" ref="B430:M430" ca="1" si="65">B420*1.5</f>
        <v>8.4145513246170395E-2</v>
      </c>
      <c r="C430" s="13">
        <f t="shared" ca="1" si="65"/>
        <v>8.4145513246170395E-2</v>
      </c>
      <c r="D430" s="13">
        <f t="shared" ca="1" si="65"/>
        <v>7.9465414844411886E-2</v>
      </c>
      <c r="E430" s="13">
        <f t="shared" ca="1" si="65"/>
        <v>7.9465414844411886E-2</v>
      </c>
      <c r="F430" s="13">
        <f t="shared" ca="1" si="65"/>
        <v>7.6352750841480993E-2</v>
      </c>
      <c r="G430" s="13">
        <f t="shared" ca="1" si="65"/>
        <v>7.6352750841480993E-2</v>
      </c>
      <c r="H430" s="13">
        <f t="shared" ca="1" si="65"/>
        <v>7.4569787111029684E-2</v>
      </c>
      <c r="I430" s="13">
        <f t="shared" ca="1" si="65"/>
        <v>7.4569787111029684E-2</v>
      </c>
      <c r="J430" s="13">
        <f t="shared" ca="1" si="65"/>
        <v>7.2904765243972242E-2</v>
      </c>
      <c r="K430" s="13">
        <f t="shared" ca="1" si="65"/>
        <v>7.2904765243972242E-2</v>
      </c>
      <c r="L430" s="13">
        <f t="shared" ca="1" si="65"/>
        <v>7.08253383097108E-2</v>
      </c>
      <c r="M430" s="13">
        <f t="shared" ca="1" si="65"/>
        <v>7.08253383097108E-2</v>
      </c>
      <c r="N430" s="13">
        <f ca="1">($B$106*B430+$C$106*C430+$D$106*D430+$E$106*E430+$F$106*F430+$G$106*G430+$H$106*H430+$I$106*I430+$J$106*J430+$K$106*K430+$L$106*L430+$M$106*M430)*'Ввод исходных данных'!$G$285</f>
        <v>374.58468382352936</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15" sqref="D15"/>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2500</v>
      </c>
      <c r="D1" s="1376"/>
      <c r="E1" s="1966" t="s">
        <v>1570</v>
      </c>
      <c r="F1" s="1966"/>
      <c r="G1" s="1966"/>
      <c r="H1" s="1324"/>
      <c r="I1" s="1323"/>
    </row>
    <row r="2" spans="1:9" ht="7.5" customHeight="1" x14ac:dyDescent="0.25">
      <c r="A2" s="1323"/>
      <c r="B2" s="1324"/>
      <c r="C2" s="1537"/>
      <c r="D2" s="1537"/>
      <c r="E2" s="1324"/>
      <c r="F2" s="1324"/>
      <c r="G2" s="1324"/>
      <c r="H2" s="1324"/>
      <c r="I2" s="1323"/>
    </row>
    <row r="3" spans="1:9" ht="9.75" customHeight="1" x14ac:dyDescent="0.25">
      <c r="A3" s="1323"/>
      <c r="B3" s="1324"/>
      <c r="C3" s="1967" t="s">
        <v>1873</v>
      </c>
      <c r="D3" s="1968"/>
      <c r="E3" s="1555" t="s">
        <v>1662</v>
      </c>
      <c r="F3" s="1324"/>
      <c r="G3" s="1324"/>
      <c r="H3" s="1324"/>
      <c r="I3" s="1323"/>
    </row>
    <row r="4" spans="1:9" ht="15" customHeight="1" x14ac:dyDescent="0.25">
      <c r="A4" s="1323"/>
      <c r="B4" s="1324"/>
      <c r="C4" s="1967"/>
      <c r="D4" s="1969"/>
      <c r="E4" s="436" t="s">
        <v>1677</v>
      </c>
      <c r="F4" s="1324"/>
      <c r="G4" s="1324"/>
      <c r="H4" s="1324"/>
      <c r="I4" s="1323"/>
    </row>
    <row r="5" spans="1:9" ht="15" customHeight="1" x14ac:dyDescent="0.25">
      <c r="A5" s="1323"/>
      <c r="B5" s="1324"/>
      <c r="C5" s="1970" t="s">
        <v>1896</v>
      </c>
      <c r="D5" s="1971"/>
      <c r="E5" s="1538" t="s">
        <v>1660</v>
      </c>
      <c r="F5" s="1324"/>
      <c r="G5" s="1324"/>
      <c r="H5" s="1324"/>
      <c r="I5" s="1323"/>
    </row>
    <row r="6" spans="1:9" ht="15" customHeight="1" x14ac:dyDescent="0.25">
      <c r="A6" s="1323"/>
      <c r="B6" s="1324"/>
      <c r="C6" s="1972"/>
      <c r="D6" s="1971"/>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73" t="s">
        <v>1911</v>
      </c>
      <c r="D8" s="1973"/>
      <c r="E8" s="1973"/>
      <c r="F8" s="1973"/>
      <c r="G8" s="1377"/>
      <c r="H8" s="1323"/>
      <c r="I8" s="1323"/>
    </row>
    <row r="9" spans="1:9" ht="15" customHeight="1" x14ac:dyDescent="0.25">
      <c r="A9" s="1323"/>
      <c r="B9" s="1332">
        <v>1</v>
      </c>
      <c r="C9" s="1542" t="s">
        <v>752</v>
      </c>
      <c r="D9" s="1543" t="s">
        <v>619</v>
      </c>
      <c r="E9" s="1952" t="s">
        <v>1891</v>
      </c>
      <c r="F9" s="1948"/>
      <c r="G9" s="1308">
        <f>IF(OR(D9=INDEX(РегионыСписок,1),D9=""),0,1)</f>
        <v>1</v>
      </c>
      <c r="H9" s="1324"/>
      <c r="I9" s="1323"/>
    </row>
    <row r="10" spans="1:9" ht="15" x14ac:dyDescent="0.25">
      <c r="A10" s="1323"/>
      <c r="B10" s="1332">
        <v>2</v>
      </c>
      <c r="C10" s="1544" t="s">
        <v>753</v>
      </c>
      <c r="D10" s="1545" t="s">
        <v>253</v>
      </c>
      <c r="E10" s="1944"/>
      <c r="F10" s="1945"/>
      <c r="G10" s="1308">
        <f>IF(OR(D10="Пожалуйста, выберите",D10=""),0,1)</f>
        <v>1</v>
      </c>
      <c r="H10" s="1324"/>
      <c r="I10" s="1323"/>
    </row>
    <row r="11" spans="1:9" ht="15" x14ac:dyDescent="0.25">
      <c r="A11" s="1323"/>
      <c r="B11" s="1332" t="s">
        <v>1874</v>
      </c>
      <c r="C11" s="1546" t="s">
        <v>462</v>
      </c>
      <c r="D11" s="1378">
        <f>IFERROR(VLOOKUP(CONCATENATE($D$9,$D$10),Климатология!$D$9:$BF$548,6,0),"")</f>
        <v>5737.5</v>
      </c>
      <c r="E11" s="1956"/>
      <c r="F11" s="1957"/>
      <c r="G11" s="1308">
        <f t="shared" ref="G11:G24" si="0">IF(D11="",0,1)</f>
        <v>1</v>
      </c>
      <c r="H11" s="1324"/>
      <c r="I11" s="1323"/>
    </row>
    <row r="12" spans="1:9" ht="15" x14ac:dyDescent="0.25">
      <c r="A12" s="1323"/>
      <c r="B12" s="1332" t="s">
        <v>1875</v>
      </c>
      <c r="C12" s="1544" t="s">
        <v>805</v>
      </c>
      <c r="D12" s="1545">
        <v>1986</v>
      </c>
      <c r="E12" s="1956" t="s">
        <v>1664</v>
      </c>
      <c r="F12" s="1957"/>
      <c r="G12" s="1308">
        <f t="shared" si="0"/>
        <v>1</v>
      </c>
      <c r="H12" s="1324"/>
      <c r="I12" s="1323"/>
    </row>
    <row r="13" spans="1:9" ht="15" x14ac:dyDescent="0.25">
      <c r="A13" s="1323"/>
      <c r="B13" s="1332" t="s">
        <v>1876</v>
      </c>
      <c r="C13" s="1544" t="s">
        <v>1859</v>
      </c>
      <c r="D13" s="1547">
        <v>9</v>
      </c>
      <c r="E13" s="1956"/>
      <c r="F13" s="1957"/>
      <c r="G13" s="1308">
        <f t="shared" si="0"/>
        <v>1</v>
      </c>
      <c r="H13" s="1324"/>
      <c r="I13" s="1323"/>
    </row>
    <row r="14" spans="1:9" ht="15" customHeight="1" x14ac:dyDescent="0.25">
      <c r="A14" s="1323"/>
      <c r="B14" s="1332" t="s">
        <v>1877</v>
      </c>
      <c r="C14" s="1546" t="s">
        <v>1885</v>
      </c>
      <c r="D14" s="1547">
        <v>7566.1</v>
      </c>
      <c r="E14" s="1956" t="s">
        <v>2022</v>
      </c>
      <c r="F14" s="1957"/>
      <c r="G14" s="1308">
        <f t="shared" si="0"/>
        <v>1</v>
      </c>
      <c r="H14" s="1324"/>
      <c r="I14" s="1323"/>
    </row>
    <row r="15" spans="1:9" ht="15" x14ac:dyDescent="0.25">
      <c r="A15" s="1323"/>
      <c r="B15" s="1332" t="s">
        <v>1878</v>
      </c>
      <c r="C15" s="1546" t="s">
        <v>1986</v>
      </c>
      <c r="D15" s="1545" t="s">
        <v>1153</v>
      </c>
      <c r="E15" s="1956"/>
      <c r="F15" s="1957"/>
      <c r="G15" s="1308">
        <f>IF(OR(D15=INDEX(danet,1),D15=""),0,1)</f>
        <v>1</v>
      </c>
      <c r="H15" s="1324"/>
      <c r="I15" s="1323"/>
    </row>
    <row r="16" spans="1:9" ht="15" x14ac:dyDescent="0.25">
      <c r="A16" s="1323"/>
      <c r="B16" s="1332" t="s">
        <v>1879</v>
      </c>
      <c r="C16" s="1546" t="s">
        <v>1900</v>
      </c>
      <c r="D16" s="1545" t="s">
        <v>467</v>
      </c>
      <c r="E16" s="1956" t="s">
        <v>1985</v>
      </c>
      <c r="F16" s="1957"/>
      <c r="G16" s="1308">
        <f>IF(OR(D16=INDEX(danet,1),D16=""),0,1)</f>
        <v>1</v>
      </c>
      <c r="H16" s="1324"/>
      <c r="I16" s="1323"/>
    </row>
    <row r="17" spans="1:9" s="51" customFormat="1" ht="15" x14ac:dyDescent="0.25">
      <c r="A17" s="1323"/>
      <c r="B17" s="1332" t="s">
        <v>1880</v>
      </c>
      <c r="C17" s="1548" t="s">
        <v>1907</v>
      </c>
      <c r="D17" s="1549"/>
      <c r="E17" s="1952"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53"/>
      <c r="G17" s="1308">
        <f>IF(AND($D$16=INDEX(danet,2),D17=""),0,IF(D16=INDEX(danet,1),0,1))</f>
        <v>1</v>
      </c>
      <c r="H17" s="1324"/>
      <c r="I17" s="1323"/>
    </row>
    <row r="18" spans="1:9" s="51" customFormat="1" ht="15" x14ac:dyDescent="0.25">
      <c r="A18" s="1323"/>
      <c r="B18" s="1332" t="s">
        <v>1901</v>
      </c>
      <c r="C18" s="1550" t="s">
        <v>496</v>
      </c>
      <c r="D18" s="1420">
        <f>IF(D17="",0,IFERROR(D17/0.00086,0))</f>
        <v>0</v>
      </c>
      <c r="E18" s="1954"/>
      <c r="F18" s="1955"/>
      <c r="G18" s="1308">
        <f>IF(D18="",0,1)</f>
        <v>1</v>
      </c>
      <c r="H18" s="1324"/>
      <c r="I18" s="1323"/>
    </row>
    <row r="19" spans="1:9" s="51" customFormat="1" ht="15" x14ac:dyDescent="0.25">
      <c r="A19" s="1323"/>
      <c r="B19" s="1332" t="s">
        <v>1881</v>
      </c>
      <c r="C19" s="1548" t="s">
        <v>1894</v>
      </c>
      <c r="D19" s="1549">
        <v>1275.6600000000001</v>
      </c>
      <c r="E19" s="1952" t="str">
        <f>IF(D16=INDEX(danet,1),"выберите способ учета теплоэнергии",IF(D16=INDEX(danet,2),"не заполняйте, если нет отдельного учета расхода теплоэнергии на отопление",""))</f>
        <v/>
      </c>
      <c r="F19" s="1953"/>
      <c r="G19" s="1308">
        <f>IF(AND($D$16=INDEX(danet,3),D19=""),0,IF($D$16=INDEX(danet,1),0,1))</f>
        <v>1</v>
      </c>
      <c r="H19" s="1324"/>
      <c r="I19" s="1323"/>
    </row>
    <row r="20" spans="1:9" s="51" customFormat="1" ht="15" customHeight="1" x14ac:dyDescent="0.25">
      <c r="A20" s="1323"/>
      <c r="B20" s="1332" t="s">
        <v>1902</v>
      </c>
      <c r="C20" s="1550" t="s">
        <v>496</v>
      </c>
      <c r="D20" s="1420">
        <f>IF(D19="",0,IFERROR(D19/0.00086,0))</f>
        <v>1483325.581395349</v>
      </c>
      <c r="E20" s="1954"/>
      <c r="F20" s="1955"/>
      <c r="G20" s="1308">
        <f t="shared" si="0"/>
        <v>1</v>
      </c>
      <c r="H20" s="1324"/>
      <c r="I20" s="1323"/>
    </row>
    <row r="21" spans="1:9" s="51" customFormat="1" ht="15" x14ac:dyDescent="0.25">
      <c r="A21" s="1323"/>
      <c r="B21" s="1332" t="s">
        <v>1860</v>
      </c>
      <c r="C21" s="1548" t="s">
        <v>1893</v>
      </c>
      <c r="D21" s="1549">
        <v>644.54999999999995</v>
      </c>
      <c r="E21" s="1952" t="str">
        <f>IF(D16=INDEX(danet,1),"выберите способ учета теплоэнергии",IF(D16=INDEX(danet,2),"не заполняйте, если нет отдельного учета расхода теплоэнергии на ГВС",""))</f>
        <v/>
      </c>
      <c r="F21" s="1953"/>
      <c r="G21" s="1308">
        <f>IF(AND($D$16=INDEX(danet,3),D21=""),0,IF($D$16=INDEX(danet,1),0,1))</f>
        <v>1</v>
      </c>
      <c r="H21" s="1324"/>
      <c r="I21" s="1323"/>
    </row>
    <row r="22" spans="1:9" s="51" customFormat="1" ht="15" customHeight="1" x14ac:dyDescent="0.25">
      <c r="A22" s="1323"/>
      <c r="B22" s="1332" t="s">
        <v>1987</v>
      </c>
      <c r="C22" s="1550" t="s">
        <v>496</v>
      </c>
      <c r="D22" s="1420">
        <f>IF(D21="",0,IFERROR(D21/0.00086,0))</f>
        <v>749476.74418604653</v>
      </c>
      <c r="E22" s="1954"/>
      <c r="F22" s="1955"/>
      <c r="G22" s="1308">
        <f t="shared" si="0"/>
        <v>1</v>
      </c>
      <c r="H22" s="1324"/>
      <c r="I22" s="1323"/>
    </row>
    <row r="23" spans="1:9" s="51" customFormat="1" ht="15" x14ac:dyDescent="0.25">
      <c r="A23" s="1323"/>
      <c r="B23" s="1332" t="s">
        <v>1861</v>
      </c>
      <c r="C23" s="1546" t="s">
        <v>1899</v>
      </c>
      <c r="D23" s="1547">
        <v>16.815999999999999</v>
      </c>
      <c r="E23" s="1956" t="s">
        <v>1984</v>
      </c>
      <c r="F23" s="1957"/>
      <c r="G23" s="1308">
        <f>IF(D23="",0,1)</f>
        <v>1</v>
      </c>
      <c r="H23" s="1324"/>
      <c r="I23" s="1323"/>
    </row>
    <row r="24" spans="1:9" s="51" customFormat="1" ht="15" x14ac:dyDescent="0.25">
      <c r="A24" s="1323"/>
      <c r="B24" s="1332" t="s">
        <v>1862</v>
      </c>
      <c r="C24" s="1546" t="s">
        <v>1892</v>
      </c>
      <c r="D24" s="1561">
        <f>IF(D16="да",D18+IF(D23="",IF(D15="да",10*D14,7*D14),D23),D20+IF(OR(D21="",D21=0),135*D14,D22)+IF(D23="",IF(D15="да",10*D14,7*D14),D23))</f>
        <v>2232819.1415813956</v>
      </c>
      <c r="E24" s="1956"/>
      <c r="F24" s="1957"/>
      <c r="G24" s="1308">
        <f t="shared" si="0"/>
        <v>1</v>
      </c>
      <c r="H24" s="1324"/>
      <c r="I24" s="1323"/>
    </row>
    <row r="25" spans="1:9" s="51" customFormat="1" ht="32.25" x14ac:dyDescent="0.25">
      <c r="A25" s="1323"/>
      <c r="B25" s="1332" t="s">
        <v>1863</v>
      </c>
      <c r="C25" s="1551" t="s">
        <v>2128</v>
      </c>
      <c r="D25" s="1379">
        <f>IF(D20=0,0,IFERROR(D20/D14/D11,0))</f>
        <v>3.4169742898780886E-2</v>
      </c>
      <c r="E25" s="1956"/>
      <c r="F25" s="1957"/>
      <c r="G25" s="1308">
        <f>IF(D25="",0,1)</f>
        <v>1</v>
      </c>
      <c r="H25" s="1324"/>
      <c r="I25" s="1323"/>
    </row>
    <row r="26" spans="1:9" s="51" customFormat="1" ht="32.25" x14ac:dyDescent="0.25">
      <c r="A26" s="1323"/>
      <c r="B26" s="1332" t="s">
        <v>1866</v>
      </c>
      <c r="C26" s="1546" t="s">
        <v>1895</v>
      </c>
      <c r="D26" s="1379">
        <f>IF(D22=0,0,IFERROR(D22/D14,0))</f>
        <v>99.057208361777725</v>
      </c>
      <c r="E26" s="1956"/>
      <c r="F26" s="1957"/>
      <c r="G26" s="1308">
        <f>IF(D26="",0,1)</f>
        <v>1</v>
      </c>
      <c r="H26" s="1324"/>
      <c r="I26" s="1323"/>
    </row>
    <row r="27" spans="1:9" s="51" customFormat="1" ht="32.25" x14ac:dyDescent="0.25">
      <c r="A27" s="1323"/>
      <c r="B27" s="1332" t="s">
        <v>1868</v>
      </c>
      <c r="C27" s="1546" t="s">
        <v>1886</v>
      </c>
      <c r="D27" s="1379">
        <f>IF(D24=0,0,IFERROR(D24/D14,0))</f>
        <v>295.10833078883383</v>
      </c>
      <c r="E27" s="1956"/>
      <c r="F27" s="1957"/>
      <c r="G27" s="1308">
        <f>IF(D27="",0,1)</f>
        <v>1</v>
      </c>
      <c r="H27" s="1324"/>
      <c r="I27" s="1323"/>
    </row>
    <row r="28" spans="1:9" s="51" customFormat="1" ht="32.25" x14ac:dyDescent="0.25">
      <c r="A28" s="1323"/>
      <c r="B28" s="1332" t="s">
        <v>1869</v>
      </c>
      <c r="C28" s="1546" t="s">
        <v>2127</v>
      </c>
      <c r="D28" s="1379">
        <f>IF(D24=0,0,IFERROR(D24/D14/D11,0))</f>
        <v>5.1435003187596307E-2</v>
      </c>
      <c r="E28" s="1956"/>
      <c r="F28" s="1957"/>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
      </c>
      <c r="E29" s="1323"/>
      <c r="F29" s="1779"/>
      <c r="G29" s="1779"/>
      <c r="H29" s="1323"/>
      <c r="I29" s="1323"/>
    </row>
    <row r="30" spans="1:9" s="51" customFormat="1" ht="30" customHeight="1" x14ac:dyDescent="0.25">
      <c r="A30" s="1323"/>
      <c r="B30" s="1323"/>
      <c r="C30" s="1958" t="s">
        <v>2473</v>
      </c>
      <c r="D30" s="1958"/>
      <c r="E30" s="1959"/>
      <c r="F30" s="1386" t="s">
        <v>1889</v>
      </c>
      <c r="G30" s="1394"/>
      <c r="H30" s="1323"/>
      <c r="I30" s="1323"/>
    </row>
    <row r="31" spans="1:9" s="51" customFormat="1" ht="30" customHeight="1" thickBot="1" x14ac:dyDescent="0.3">
      <c r="A31" s="1323"/>
      <c r="B31" s="1332"/>
      <c r="C31" s="1946"/>
      <c r="D31" s="1958"/>
      <c r="E31" s="1960"/>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E</v>
      </c>
      <c r="E32" s="1777" t="str">
        <f>IFERROR(VLOOKUP(D32,'классы ЭЭ и выбросы ПГ'!$C$27:$F$35,4,FALSE),"определяется, если заполнено поле №8 или №9 и нет ошибок ввода")</f>
        <v>Пониженный</v>
      </c>
      <c r="F32" s="1388" t="s">
        <v>1788</v>
      </c>
      <c r="G32" s="1552"/>
      <c r="H32" s="1324"/>
      <c r="I32" s="1323"/>
    </row>
    <row r="33" spans="1:9" s="51" customFormat="1" ht="30" customHeight="1" x14ac:dyDescent="0.25">
      <c r="A33" s="1323"/>
      <c r="B33" s="1332" t="s">
        <v>1872</v>
      </c>
      <c r="C33" s="1548" t="s">
        <v>1887</v>
      </c>
      <c r="D33" s="1380">
        <f>IF(OR(D27=0,D13="",D17+D19=0),"определяется, если нет ошибок ввода",IFERROR(MAX(0,D14*(D27-'классы ЭЭ и выбросы ПГ'!AO12)),""))</f>
        <v>236928.78609732719</v>
      </c>
      <c r="E33" s="1385"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33" s="1389" t="s">
        <v>1789</v>
      </c>
      <c r="G33" s="1552"/>
      <c r="H33" s="1324"/>
      <c r="I33" s="1323"/>
    </row>
    <row r="34" spans="1:9" s="51" customFormat="1" ht="30" customHeight="1" x14ac:dyDescent="0.25">
      <c r="A34" s="1323"/>
      <c r="B34" s="1332" t="s">
        <v>1882</v>
      </c>
      <c r="C34" s="1550" t="s">
        <v>1164</v>
      </c>
      <c r="D34" s="1381">
        <f>IFERROR(D33/D24,"")</f>
        <v>0.10611194685903769</v>
      </c>
      <c r="E34" s="1382" t="s">
        <v>2400</v>
      </c>
      <c r="F34" s="1390" t="s">
        <v>1790</v>
      </c>
      <c r="G34" s="1552"/>
      <c r="H34" s="1324"/>
      <c r="I34" s="1323"/>
    </row>
    <row r="35" spans="1:9" s="51" customFormat="1" ht="30" customHeight="1" x14ac:dyDescent="0.25">
      <c r="A35" s="1323"/>
      <c r="B35" s="1332" t="s">
        <v>1897</v>
      </c>
      <c r="C35" s="1548" t="s">
        <v>1888</v>
      </c>
      <c r="D35" s="1383">
        <f>IF(OR(D27=0,D13="",D17+D19=0),"определяется, если заполнено поле №6 и нет ошибок ввода",IFERROR(MAX(0,D14*(D27-0.4*'классы ЭЭ и выбросы ПГ'!AO12)),""))</f>
        <v>1434462.9993877681</v>
      </c>
      <c r="E35" s="1385" t="str">
        <f>CONCATENATE("по сравнению с уровнем А++ для зданий ",D13," эт. согласно приказу Минстроя №399")</f>
        <v>по сравнению с уровнем А++ для зданий 9 эт. согласно приказу Минстроя №399</v>
      </c>
      <c r="F35" s="1391" t="s">
        <v>1791</v>
      </c>
      <c r="G35" s="1552"/>
      <c r="H35" s="1324"/>
      <c r="I35" s="1323"/>
    </row>
    <row r="36" spans="1:9" s="51" customFormat="1" ht="30" customHeight="1" x14ac:dyDescent="0.25">
      <c r="A36" s="1323"/>
      <c r="B36" s="1332" t="s">
        <v>1898</v>
      </c>
      <c r="C36" s="1550" t="s">
        <v>1164</v>
      </c>
      <c r="D36" s="1381">
        <f>IFERROR(D35/D24,"")</f>
        <v>0.64244477874361505</v>
      </c>
      <c r="E36" s="1382" t="s">
        <v>2400</v>
      </c>
      <c r="F36" s="1392" t="s">
        <v>1792</v>
      </c>
      <c r="G36" s="1552"/>
      <c r="H36" s="1324"/>
      <c r="I36" s="1323"/>
    </row>
    <row r="37" spans="1:9" s="51" customFormat="1" ht="30" customHeight="1" x14ac:dyDescent="0.35">
      <c r="A37" s="1323"/>
      <c r="B37" s="1323"/>
      <c r="C37" s="1961"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33% аналогичных* МКД в России!</v>
      </c>
      <c r="D37" s="1961"/>
      <c r="E37" s="1962"/>
      <c r="F37" s="1392" t="s">
        <v>1793</v>
      </c>
      <c r="G37" s="1395"/>
      <c r="H37" s="1323"/>
      <c r="I37" s="1323"/>
    </row>
    <row r="38" spans="1:9" s="51" customFormat="1" ht="30" customHeight="1" x14ac:dyDescent="0.25">
      <c r="A38" s="1323"/>
      <c r="B38" s="1323"/>
      <c r="C38" s="1963"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9-10</v>
      </c>
      <c r="D38" s="1963"/>
      <c r="E38" s="1964"/>
      <c r="F38" s="1393" t="s">
        <v>1794</v>
      </c>
      <c r="G38" s="1395"/>
      <c r="H38" s="1323"/>
      <c r="I38" s="1323"/>
    </row>
    <row r="39" spans="1:9" s="51" customFormat="1" ht="22.5" customHeight="1" x14ac:dyDescent="0.25">
      <c r="A39" s="1323"/>
      <c r="B39" s="1323"/>
      <c r="C39" s="1965"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65"/>
      <c r="E39" s="1965"/>
      <c r="F39" s="1965"/>
      <c r="G39" s="1778"/>
      <c r="H39" s="1323"/>
      <c r="I39" s="1323"/>
    </row>
    <row r="40" spans="1:9" s="51" customFormat="1" ht="30" customHeight="1" x14ac:dyDescent="0.25">
      <c r="A40" s="1323"/>
      <c r="B40" s="1323"/>
      <c r="C40" s="1949"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949"/>
      <c r="E40" s="1949"/>
      <c r="F40" s="1949"/>
      <c r="G40" s="1323"/>
      <c r="H40" s="1323"/>
      <c r="I40" s="1323"/>
    </row>
    <row r="41" spans="1:9" s="51" customFormat="1" ht="15" customHeight="1" x14ac:dyDescent="0.25">
      <c r="A41" s="1323"/>
      <c r="B41" s="1323"/>
      <c r="C41" s="1950"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50"/>
      <c r="E41" s="1950"/>
      <c r="F41" s="1950"/>
      <c r="G41" s="1323"/>
      <c r="H41" s="1323"/>
      <c r="I41" s="1323"/>
    </row>
    <row r="42" spans="1:9" s="51" customFormat="1" ht="15" customHeight="1" x14ac:dyDescent="0.25">
      <c r="A42" s="1323"/>
      <c r="B42" s="1323"/>
      <c r="C42" s="1951"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51"/>
      <c r="E42" s="1951"/>
      <c r="F42" s="1951"/>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46" t="s">
        <v>1871</v>
      </c>
      <c r="D61" s="1946"/>
      <c r="E61" s="1946"/>
      <c r="F61" s="1946"/>
      <c r="G61" s="1323"/>
      <c r="H61" s="1323"/>
      <c r="I61" s="1323"/>
    </row>
    <row r="62" spans="1:9" s="51" customFormat="1" ht="30" customHeight="1" x14ac:dyDescent="0.25">
      <c r="A62" s="1323"/>
      <c r="B62" s="1332" t="s">
        <v>1903</v>
      </c>
      <c r="C62" s="1548" t="s">
        <v>1887</v>
      </c>
      <c r="D62" s="1383">
        <f>IF(OR(D25=0,D13=""),"определяется, если заполнено поле №9 и нет ошибок ввода",IFERROR(MAX(0,D14*(D25*D11-'классы ЭЭ и выбросы ПГ'!AO20)),""))</f>
        <v>611033.52854608453</v>
      </c>
      <c r="E62" s="1947"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62" s="1948"/>
      <c r="G62" s="1308"/>
      <c r="H62" s="1324"/>
      <c r="I62" s="1323"/>
    </row>
    <row r="63" spans="1:9" s="51" customFormat="1" ht="18" customHeight="1" x14ac:dyDescent="0.25">
      <c r="A63" s="1323"/>
      <c r="B63" s="1332" t="s">
        <v>1904</v>
      </c>
      <c r="C63" s="1550" t="s">
        <v>1164</v>
      </c>
      <c r="D63" s="1381">
        <f>IFERROR(D62/D20,"")</f>
        <v>0.41193486865593704</v>
      </c>
      <c r="E63" s="1942" t="s">
        <v>2399</v>
      </c>
      <c r="F63" s="1943"/>
      <c r="G63" s="1308"/>
      <c r="H63" s="1324"/>
      <c r="I63" s="1323"/>
    </row>
    <row r="64" spans="1:9" s="51" customFormat="1" ht="30" customHeight="1" x14ac:dyDescent="0.25">
      <c r="A64" s="1323"/>
      <c r="B64" s="1332" t="s">
        <v>1905</v>
      </c>
      <c r="C64" s="1548" t="s">
        <v>1888</v>
      </c>
      <c r="D64" s="1383">
        <f>IF(OR(D25=0,D13=""),"определяется, если заполнено поле №9 и нет ошибок ввода",IFERROR(MAX(D14*(D25*D11-0.4*'классы ЭЭ и выбросы ПГ'!AO20)),""))</f>
        <v>1134408.7602556432</v>
      </c>
      <c r="E64" s="1942" t="str">
        <f>CONCATENATE("по сравнению с уровнем А++ для зданий ",D13," эт. согласно приказу Минстроя №399")</f>
        <v>по сравнению с уровнем А++ для зданий 9 эт. согласно приказу Минстроя №399</v>
      </c>
      <c r="F64" s="1943"/>
      <c r="G64" s="1308"/>
      <c r="H64" s="1324"/>
      <c r="I64" s="1323"/>
    </row>
    <row r="65" spans="1:9" s="51" customFormat="1" ht="18" customHeight="1" x14ac:dyDescent="0.25">
      <c r="A65" s="1323"/>
      <c r="B65" s="1332" t="s">
        <v>1906</v>
      </c>
      <c r="C65" s="1550" t="s">
        <v>1164</v>
      </c>
      <c r="D65" s="1381">
        <f>IFERROR(D64/D20,"")</f>
        <v>0.76477394746237481</v>
      </c>
      <c r="E65" s="1944" t="s">
        <v>2399</v>
      </c>
      <c r="F65" s="1945"/>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17:F18"/>
    <mergeCell ref="E1:G1"/>
    <mergeCell ref="C3:D4"/>
    <mergeCell ref="C5:D6"/>
    <mergeCell ref="C8:F8"/>
    <mergeCell ref="E9:F10"/>
    <mergeCell ref="E11:F11"/>
    <mergeCell ref="E12:F12"/>
    <mergeCell ref="E13:F13"/>
    <mergeCell ref="E14:F14"/>
    <mergeCell ref="E15:F15"/>
    <mergeCell ref="E16:F16"/>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64:F64"/>
    <mergeCell ref="E65:F65"/>
    <mergeCell ref="C61:F61"/>
    <mergeCell ref="E62:F62"/>
    <mergeCell ref="E63:F63"/>
  </mergeCells>
  <conditionalFormatting sqref="D9:D10 D15">
    <cfRule type="containsBlanks" dxfId="246" priority="24">
      <formula>LEN(TRIM(D9))=0</formula>
    </cfRule>
  </conditionalFormatting>
  <conditionalFormatting sqref="D16">
    <cfRule type="containsBlanks" dxfId="245" priority="20">
      <formula>LEN(TRIM(D16))=0</formula>
    </cfRule>
  </conditionalFormatting>
  <conditionalFormatting sqref="D19 D21">
    <cfRule type="expression" dxfId="244" priority="19">
      <formula>OR($D$16=INDEX(danet,1),$D$16=INDEX(danet,2))</formula>
    </cfRule>
  </conditionalFormatting>
  <conditionalFormatting sqref="E19:F22">
    <cfRule type="expression" dxfId="243" priority="17">
      <formula>$D$16=INDEX(danet,3)</formula>
    </cfRule>
  </conditionalFormatting>
  <conditionalFormatting sqref="E17:F18">
    <cfRule type="expression" dxfId="242" priority="13">
      <formula>$D$16=INDEX(danet,2)</formula>
    </cfRule>
  </conditionalFormatting>
  <conditionalFormatting sqref="D17">
    <cfRule type="expression" dxfId="241" priority="12">
      <formula>OR($D$16=INDEX(danet,3),$D$16=INDEX(danet,1))</formula>
    </cfRule>
  </conditionalFormatting>
  <conditionalFormatting sqref="D32">
    <cfRule type="expression" dxfId="240" priority="10">
      <formula>OR($D$13="",$D$27="")</formula>
    </cfRule>
  </conditionalFormatting>
  <conditionalFormatting sqref="F30">
    <cfRule type="expression" dxfId="239" priority="9">
      <formula>$D$32="A++"</formula>
    </cfRule>
  </conditionalFormatting>
  <conditionalFormatting sqref="F31:G31">
    <cfRule type="expression" dxfId="238" priority="8">
      <formula>$D$32="A+"</formula>
    </cfRule>
  </conditionalFormatting>
  <conditionalFormatting sqref="F32:G32">
    <cfRule type="expression" dxfId="237" priority="7">
      <formula>$D$32="A"</formula>
    </cfRule>
  </conditionalFormatting>
  <conditionalFormatting sqref="F33:G33">
    <cfRule type="expression" dxfId="236" priority="6">
      <formula>$D$32="B"</formula>
    </cfRule>
  </conditionalFormatting>
  <conditionalFormatting sqref="F34:G34">
    <cfRule type="expression" dxfId="235" priority="5">
      <formula>$D$32="C"</formula>
    </cfRule>
  </conditionalFormatting>
  <conditionalFormatting sqref="F35:G35">
    <cfRule type="expression" dxfId="234" priority="4">
      <formula>$D$32="D"</formula>
    </cfRule>
  </conditionalFormatting>
  <conditionalFormatting sqref="F36:G36">
    <cfRule type="expression" dxfId="233" priority="3">
      <formula>$D$32="E"</formula>
    </cfRule>
  </conditionalFormatting>
  <conditionalFormatting sqref="F37:G37">
    <cfRule type="expression" dxfId="232" priority="2">
      <formula>$D$32="F"</formula>
    </cfRule>
  </conditionalFormatting>
  <conditionalFormatting sqref="F38:G38">
    <cfRule type="expression" dxfId="231" priority="1">
      <formula>$D$32="G"</formula>
    </cfRule>
  </conditionalFormatting>
  <conditionalFormatting sqref="D43">
    <cfRule type="expression" dxfId="230"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3.4169742898780886E-2</v>
      </c>
      <c r="V3" s="1367">
        <f>'Рейтинг МКД'!D26</f>
        <v>99.057208361777725</v>
      </c>
      <c r="W3" s="1366">
        <f>'Рейтинг МКД'!D28*'Рейтинг МКД'!D11</f>
        <v>295.10833078883383</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0.01</v>
      </c>
      <c r="C5" s="1364">
        <f t="shared" ref="C5:C36" si="0">$B$106*B213+$C$106*C213+$D$106*D213+$E$106*E213+$F$106*F213+$G$106*G213+$H$106*H213+$I$106*I213+$J$106*J213+$K$106*K213+$L$106*L213+$M$106*M213</f>
        <v>21.8</v>
      </c>
      <c r="D5" s="1431">
        <f>B5*'Рейтинг МКД'!$D$11+'кривые-экспресс'!C5+IF('Рейтинг МКД'!$D$15="нет",7,10)</f>
        <v>89.174999999999997</v>
      </c>
      <c r="E5" s="1431">
        <f>IF(D5&lt;=$N$423,D5,"")</f>
        <v>89.174999999999997</v>
      </c>
      <c r="F5" s="1364" t="str">
        <f>IF(AND($D5&lt;=$N$424,$D5&gt;$N$423),$D5,"")</f>
        <v/>
      </c>
      <c r="G5" s="1364" t="str">
        <f>IF(AND($D5&lt;=$N$425,$D5&gt;$N$424),$D5,"")</f>
        <v/>
      </c>
      <c r="H5" s="1364" t="str">
        <f>IF(AND($D5&lt;=$N$426,$D5&gt;$N$425),$D5,"")</f>
        <v/>
      </c>
      <c r="I5" s="1364" t="str">
        <f>IF(AND($D5&lt;=$N$427,$D5&gt;$N$426),$D5,"")</f>
        <v/>
      </c>
      <c r="J5" s="1364" t="str">
        <f>IF(AND($D5&lt;=$N$428,$D5&gt;$N$427),$D5,"")</f>
        <v/>
      </c>
      <c r="K5" s="1364" t="str">
        <f>IF(AND($D5&lt;=$N$429,$D5&gt;$N$428),$D5,"")</f>
        <v/>
      </c>
      <c r="L5" s="1364" t="str">
        <f>IF(AND($D5&lt;=$N$430,$D5&gt;$N$429),$D5,"")</f>
        <v/>
      </c>
      <c r="M5" s="1364" t="str">
        <f>IF(AND($D5&gt;$N$430),$D5,"")</f>
        <v/>
      </c>
      <c r="N5" s="13">
        <f>$B$106*B210+$C$106*C210+$D$106*D210+$E$106*E210+$F$106*F210+$G$106*G210+$H$106*H210+$I$106*I210+$J$106*J210+$K$106*K210+$L$106*L210+$M$106*M210</f>
        <v>1.9823257080610023E-2</v>
      </c>
      <c r="O5" s="13">
        <f>$B$106*B315+$C$106*C315+$D$106*D315+$E$106*E315+$F$106*F315+$G$106*G315+$H$106*H315+$I$106*I315+$J$106*J315+$K$106*K315+$L$106*L315+$M$106*M315</f>
        <v>138.46648284313724</v>
      </c>
      <c r="P5" s="1423">
        <f>'Рейтинг МКД'!D11*($B$106*B420+$C$106*C420+$D$106*D420+$E$106*E420+$F$106*F420+$G$106*G420+$H$106*H420+$I$106*I420+$J$106*J420+$K$106*K420+$L$106*L420+$M$106*M420)+IF('Рейтинг МКД'!$D$15="нет",7,10)</f>
        <v>272.20242034313725</v>
      </c>
      <c r="Q5" s="13">
        <f>$B$106*B211+$C$106*C211+$D$106*D211+$E$106*E211+$F$106*F211+$G$106*G211+$H$106*H211+$I$106*I211+$J$106*J211+$K$106*K211+$L$106*L211+$M$106*M211</f>
        <v>7.929302832244009E-3</v>
      </c>
      <c r="R5" s="13">
        <f>$B$106*B316+$C$106*C316+$D$106*D316+$E$106*E316+$F$106*F316+$G$106*G316+$H$106*H316+$I$106*I316+$J$106*J316+$K$106*K316+$L$106*L316+$M$106*M316</f>
        <v>55.386593137254899</v>
      </c>
      <c r="S5" s="13">
        <f>'Рейтинг МКД'!$D$11*($B$106*B421+$C$106*C421+$D$106*D421+$E$106*E421+$F$106*F421+$G$106*G421+$H$106*H421+$I$106*I421+$J$106*J421+$K$106*K421+$L$106*L421+$M$106*M421)+IF('Рейтинг МКД'!$D$15="нет",7,10)</f>
        <v>114.88096813725491</v>
      </c>
      <c r="U5" s="13" t="str">
        <f t="shared" ref="U5:U36" si="1">IF(AND($U$3&gt;=B5,$U$3&lt;B6),$U$3,"")</f>
        <v/>
      </c>
      <c r="V5" s="13" t="str">
        <f t="shared" ref="V5:V36" si="2">IF(AND($V$3&gt;=C5,$V$3&lt;C6),$V$3,"")</f>
        <v/>
      </c>
      <c r="W5" s="13" t="str">
        <f>IF(AND($W$3&gt;=SUM(E5:M5),$W$3&lt;SUM(E6:M6)),$W$3,"")</f>
        <v/>
      </c>
    </row>
    <row r="6" spans="1:23" x14ac:dyDescent="0.25">
      <c r="A6" s="1363">
        <v>0.02</v>
      </c>
      <c r="B6" s="13">
        <f t="shared" ref="B6:B69" si="3">$B$106*B109+$C$106*C109+$D$106*D109+$E$106*E109+$F$106*F109+$G$106*G109+$H$106*H109+$I$106*I109+$J$106*J109+$K$106*K109+$L$106*L109+$M$106*M109</f>
        <v>1.6E-2</v>
      </c>
      <c r="C6" s="1364">
        <f t="shared" si="0"/>
        <v>21.8</v>
      </c>
      <c r="D6" s="1431">
        <f>B6*'Рейтинг МКД'!$D$11+'кривые-экспресс'!C6+IF('Рейтинг МКД'!$D$15="нет",7,10)</f>
        <v>123.6</v>
      </c>
      <c r="E6" s="1431" t="str">
        <f t="shared" ref="E6:E69" si="4">IF(D6&lt;=$N$423,D6,"")</f>
        <v/>
      </c>
      <c r="F6" s="1364">
        <f t="shared" ref="F6:F69" si="5">IF(AND($D6&lt;=$N$424,$D6&gt;$N$423),$D6,"")</f>
        <v>123.6</v>
      </c>
      <c r="G6" s="1364" t="str">
        <f t="shared" ref="G6:G69" si="6">IF(AND($D6&lt;=$N$425,$D6&gt;$N$424),$D6,"")</f>
        <v/>
      </c>
      <c r="H6" s="1364" t="str">
        <f t="shared" ref="H6:H69" si="7">IF(AND($D6&lt;=$N$426,$D6&gt;$N$425),$D6,"")</f>
        <v/>
      </c>
      <c r="I6" s="1364" t="str">
        <f t="shared" ref="I6:I69" si="8">IF(AND($D6&lt;=$N$427,$D6&gt;$N$426),$D6,"")</f>
        <v/>
      </c>
      <c r="J6" s="1364" t="str">
        <f t="shared" ref="J6:J69" si="9">IF(AND($D6&lt;=$N$428,$D6&gt;$N$427),$D6,"")</f>
        <v/>
      </c>
      <c r="K6" s="1364" t="str">
        <f t="shared" ref="K6:K69" si="10">IF(AND($D6&lt;=$N$429,$D6&gt;$N$428),$D6,"")</f>
        <v/>
      </c>
      <c r="L6" s="1364" t="str">
        <f t="shared" ref="L6:L69" si="11">IF(AND($D6&lt;=$N$430,$D6&gt;$N$429),$D6,"")</f>
        <v/>
      </c>
      <c r="M6" s="1364" t="str">
        <f t="shared" ref="M6:M69" si="12">IF(AND($D6&gt;$N$430),$D6,"")</f>
        <v/>
      </c>
      <c r="N6" s="13">
        <f t="shared" ref="N6:N22" si="13">N5</f>
        <v>1.9823257080610023E-2</v>
      </c>
      <c r="O6" s="13">
        <f t="shared" ref="O6:S21" si="14">O5</f>
        <v>138.46648284313724</v>
      </c>
      <c r="P6" s="13">
        <f t="shared" si="14"/>
        <v>272.20242034313725</v>
      </c>
      <c r="Q6" s="13">
        <f t="shared" si="14"/>
        <v>7.929302832244009E-3</v>
      </c>
      <c r="R6" s="13">
        <f t="shared" si="14"/>
        <v>55.386593137254899</v>
      </c>
      <c r="S6" s="13">
        <f t="shared" si="14"/>
        <v>114.88096813725491</v>
      </c>
      <c r="U6" s="13" t="str">
        <f t="shared" si="1"/>
        <v/>
      </c>
      <c r="V6" s="13" t="str">
        <f t="shared" si="2"/>
        <v/>
      </c>
      <c r="W6" s="13" t="str">
        <f>IF(AND($W$3&gt;=SUM(E6:M6),$W$3&lt;SUM(E7:M7)),$W$3,"")</f>
        <v/>
      </c>
    </row>
    <row r="7" spans="1:23" x14ac:dyDescent="0.25">
      <c r="A7" s="1363">
        <v>0.03</v>
      </c>
      <c r="B7" s="13">
        <f t="shared" si="3"/>
        <v>1.7000000000000001E-2</v>
      </c>
      <c r="C7" s="1364">
        <f t="shared" si="0"/>
        <v>21.8</v>
      </c>
      <c r="D7" s="1431">
        <f>B7*'Рейтинг МКД'!$D$11+'кривые-экспресс'!C7+IF('Рейтинг МКД'!$D$15="нет",7,10)</f>
        <v>129.33750000000001</v>
      </c>
      <c r="E7" s="1431" t="str">
        <f t="shared" si="4"/>
        <v/>
      </c>
      <c r="F7" s="1364">
        <f t="shared" si="5"/>
        <v>129.33750000000001</v>
      </c>
      <c r="G7" s="1364" t="str">
        <f t="shared" si="6"/>
        <v/>
      </c>
      <c r="H7" s="1364" t="str">
        <f t="shared" si="7"/>
        <v/>
      </c>
      <c r="I7" s="1364" t="str">
        <f t="shared" si="8"/>
        <v/>
      </c>
      <c r="J7" s="1364" t="str">
        <f t="shared" si="9"/>
        <v/>
      </c>
      <c r="K7" s="1364" t="str">
        <f t="shared" si="10"/>
        <v/>
      </c>
      <c r="L7" s="1364" t="str">
        <f t="shared" si="11"/>
        <v/>
      </c>
      <c r="M7" s="1364" t="str">
        <f t="shared" si="12"/>
        <v/>
      </c>
      <c r="N7" s="13">
        <f t="shared" si="13"/>
        <v>1.9823257080610023E-2</v>
      </c>
      <c r="O7" s="13">
        <f t="shared" si="14"/>
        <v>138.46648284313724</v>
      </c>
      <c r="P7" s="13">
        <f t="shared" si="14"/>
        <v>272.20242034313725</v>
      </c>
      <c r="Q7" s="13">
        <f t="shared" si="14"/>
        <v>7.929302832244009E-3</v>
      </c>
      <c r="R7" s="13">
        <f t="shared" si="14"/>
        <v>55.386593137254899</v>
      </c>
      <c r="S7" s="13">
        <f t="shared" si="14"/>
        <v>114.88096813725491</v>
      </c>
      <c r="U7" s="13" t="str">
        <f t="shared" si="1"/>
        <v/>
      </c>
      <c r="V7" s="13" t="str">
        <f t="shared" si="2"/>
        <v/>
      </c>
      <c r="W7" s="13" t="str">
        <f t="shared" ref="W7:W70" si="15">IF(AND($W$3&gt;=SUM(E7:M7),$W$3&lt;SUM(E8:M8)),$W$3,"")</f>
        <v/>
      </c>
    </row>
    <row r="8" spans="1:23" x14ac:dyDescent="0.25">
      <c r="A8" s="1363">
        <v>0.04</v>
      </c>
      <c r="B8" s="13">
        <f t="shared" si="3"/>
        <v>1.7999999999999999E-2</v>
      </c>
      <c r="C8" s="1364">
        <f t="shared" si="0"/>
        <v>29.6</v>
      </c>
      <c r="D8" s="1431">
        <f>B8*'Рейтинг МКД'!$D$11+'кривые-экспресс'!C8+IF('Рейтинг МКД'!$D$15="нет",7,10)</f>
        <v>142.875</v>
      </c>
      <c r="E8" s="1431" t="str">
        <f t="shared" si="4"/>
        <v/>
      </c>
      <c r="F8" s="1364" t="str">
        <f t="shared" si="5"/>
        <v/>
      </c>
      <c r="G8" s="1364">
        <f t="shared" si="6"/>
        <v>142.875</v>
      </c>
      <c r="H8" s="1364" t="str">
        <f t="shared" si="7"/>
        <v/>
      </c>
      <c r="I8" s="1364" t="str">
        <f t="shared" si="8"/>
        <v/>
      </c>
      <c r="J8" s="1364" t="str">
        <f t="shared" si="9"/>
        <v/>
      </c>
      <c r="K8" s="1364" t="str">
        <f t="shared" si="10"/>
        <v/>
      </c>
      <c r="L8" s="1364" t="str">
        <f t="shared" si="11"/>
        <v/>
      </c>
      <c r="M8" s="1364" t="str">
        <f t="shared" si="12"/>
        <v/>
      </c>
      <c r="N8" s="13">
        <f t="shared" si="13"/>
        <v>1.9823257080610023E-2</v>
      </c>
      <c r="O8" s="13">
        <f t="shared" si="14"/>
        <v>138.46648284313724</v>
      </c>
      <c r="P8" s="13">
        <f t="shared" si="14"/>
        <v>272.20242034313725</v>
      </c>
      <c r="Q8" s="13">
        <f t="shared" si="14"/>
        <v>7.929302832244009E-3</v>
      </c>
      <c r="R8" s="13">
        <f t="shared" si="14"/>
        <v>55.386593137254899</v>
      </c>
      <c r="S8" s="13">
        <f t="shared" si="14"/>
        <v>114.88096813725491</v>
      </c>
      <c r="U8" s="13" t="str">
        <f t="shared" si="1"/>
        <v/>
      </c>
      <c r="V8" s="13" t="str">
        <f t="shared" si="2"/>
        <v/>
      </c>
      <c r="W8" s="13" t="str">
        <f t="shared" si="15"/>
        <v/>
      </c>
    </row>
    <row r="9" spans="1:23" x14ac:dyDescent="0.25">
      <c r="A9" s="1363">
        <v>0.05</v>
      </c>
      <c r="B9" s="13">
        <f t="shared" si="3"/>
        <v>1.9E-2</v>
      </c>
      <c r="C9" s="1364">
        <f t="shared" si="0"/>
        <v>29.6</v>
      </c>
      <c r="D9" s="1431">
        <f>B9*'Рейтинг МКД'!$D$11+'кривые-экспресс'!C9+IF('Рейтинг МКД'!$D$15="нет",7,10)</f>
        <v>148.61250000000001</v>
      </c>
      <c r="E9" s="1431" t="str">
        <f t="shared" si="4"/>
        <v/>
      </c>
      <c r="F9" s="1364" t="str">
        <f t="shared" si="5"/>
        <v/>
      </c>
      <c r="G9" s="1364">
        <f t="shared" si="6"/>
        <v>148.61250000000001</v>
      </c>
      <c r="H9" s="1364" t="str">
        <f t="shared" si="7"/>
        <v/>
      </c>
      <c r="I9" s="1364" t="str">
        <f t="shared" si="8"/>
        <v/>
      </c>
      <c r="J9" s="1364" t="str">
        <f t="shared" si="9"/>
        <v/>
      </c>
      <c r="K9" s="1364" t="str">
        <f t="shared" si="10"/>
        <v/>
      </c>
      <c r="L9" s="1364" t="str">
        <f t="shared" si="11"/>
        <v/>
      </c>
      <c r="M9" s="1364" t="str">
        <f t="shared" si="12"/>
        <v/>
      </c>
      <c r="N9" s="13">
        <f t="shared" si="13"/>
        <v>1.9823257080610023E-2</v>
      </c>
      <c r="O9" s="13">
        <f t="shared" si="14"/>
        <v>138.46648284313724</v>
      </c>
      <c r="P9" s="13">
        <f t="shared" si="14"/>
        <v>272.20242034313725</v>
      </c>
      <c r="Q9" s="13">
        <f t="shared" si="14"/>
        <v>7.929302832244009E-3</v>
      </c>
      <c r="R9" s="13">
        <f t="shared" si="14"/>
        <v>55.386593137254899</v>
      </c>
      <c r="S9" s="13">
        <f t="shared" si="14"/>
        <v>114.88096813725491</v>
      </c>
      <c r="U9" s="13" t="str">
        <f t="shared" si="1"/>
        <v/>
      </c>
      <c r="V9" s="13" t="str">
        <f t="shared" si="2"/>
        <v/>
      </c>
      <c r="W9" s="13" t="str">
        <f t="shared" si="15"/>
        <v/>
      </c>
    </row>
    <row r="10" spans="1:23" x14ac:dyDescent="0.25">
      <c r="A10" s="1363">
        <v>0.06</v>
      </c>
      <c r="B10" s="13">
        <f t="shared" si="3"/>
        <v>2.1000000000000001E-2</v>
      </c>
      <c r="C10" s="1364">
        <f t="shared" si="0"/>
        <v>34.5</v>
      </c>
      <c r="D10" s="1431">
        <f>B10*'Рейтинг МКД'!$D$11+'кривые-экспресс'!C10+IF('Рейтинг МКД'!$D$15="нет",7,10)</f>
        <v>164.98750000000001</v>
      </c>
      <c r="E10" s="1431" t="str">
        <f t="shared" si="4"/>
        <v/>
      </c>
      <c r="F10" s="1364" t="str">
        <f t="shared" si="5"/>
        <v/>
      </c>
      <c r="G10" s="1364" t="str">
        <f t="shared" si="6"/>
        <v/>
      </c>
      <c r="H10" s="1364">
        <f t="shared" si="7"/>
        <v>164.98750000000001</v>
      </c>
      <c r="I10" s="1364" t="str">
        <f t="shared" si="8"/>
        <v/>
      </c>
      <c r="J10" s="1364" t="str">
        <f t="shared" si="9"/>
        <v/>
      </c>
      <c r="K10" s="1364" t="str">
        <f t="shared" si="10"/>
        <v/>
      </c>
      <c r="L10" s="1364" t="str">
        <f t="shared" si="11"/>
        <v/>
      </c>
      <c r="M10" s="1364" t="str">
        <f t="shared" si="12"/>
        <v/>
      </c>
      <c r="N10" s="13">
        <f t="shared" si="13"/>
        <v>1.9823257080610023E-2</v>
      </c>
      <c r="O10" s="13">
        <f t="shared" si="14"/>
        <v>138.46648284313724</v>
      </c>
      <c r="P10" s="13">
        <f t="shared" si="14"/>
        <v>272.20242034313725</v>
      </c>
      <c r="Q10" s="13">
        <f t="shared" si="14"/>
        <v>7.929302832244009E-3</v>
      </c>
      <c r="R10" s="13">
        <f t="shared" si="14"/>
        <v>55.386593137254899</v>
      </c>
      <c r="S10" s="13">
        <f t="shared" si="14"/>
        <v>114.88096813725491</v>
      </c>
      <c r="U10" s="13" t="str">
        <f t="shared" si="1"/>
        <v/>
      </c>
      <c r="V10" s="13" t="str">
        <f t="shared" si="2"/>
        <v/>
      </c>
      <c r="W10" s="13" t="str">
        <f t="shared" si="15"/>
        <v/>
      </c>
    </row>
    <row r="11" spans="1:23" x14ac:dyDescent="0.25">
      <c r="A11" s="1363">
        <v>7.0000000000000007E-2</v>
      </c>
      <c r="B11" s="13">
        <f t="shared" si="3"/>
        <v>2.1999999999999999E-2</v>
      </c>
      <c r="C11" s="1364">
        <f t="shared" si="0"/>
        <v>34.5</v>
      </c>
      <c r="D11" s="1431">
        <f>B11*'Рейтинг МКД'!$D$11+'кривые-экспресс'!C11+IF('Рейтинг МКД'!$D$15="нет",7,10)</f>
        <v>170.72499999999999</v>
      </c>
      <c r="E11" s="1431" t="str">
        <f t="shared" si="4"/>
        <v/>
      </c>
      <c r="F11" s="1364" t="str">
        <f t="shared" si="5"/>
        <v/>
      </c>
      <c r="G11" s="1364" t="str">
        <f t="shared" si="6"/>
        <v/>
      </c>
      <c r="H11" s="1364">
        <f t="shared" si="7"/>
        <v>170.72499999999999</v>
      </c>
      <c r="I11" s="1364" t="str">
        <f t="shared" si="8"/>
        <v/>
      </c>
      <c r="J11" s="1364" t="str">
        <f t="shared" si="9"/>
        <v/>
      </c>
      <c r="K11" s="1364" t="str">
        <f t="shared" si="10"/>
        <v/>
      </c>
      <c r="L11" s="1364" t="str">
        <f t="shared" si="11"/>
        <v/>
      </c>
      <c r="M11" s="1364" t="str">
        <f t="shared" si="12"/>
        <v/>
      </c>
      <c r="N11" s="13">
        <f t="shared" si="13"/>
        <v>1.9823257080610023E-2</v>
      </c>
      <c r="O11" s="13">
        <f t="shared" si="14"/>
        <v>138.46648284313724</v>
      </c>
      <c r="P11" s="13">
        <f t="shared" si="14"/>
        <v>272.20242034313725</v>
      </c>
      <c r="Q11" s="13">
        <f t="shared" si="14"/>
        <v>7.929302832244009E-3</v>
      </c>
      <c r="R11" s="13">
        <f t="shared" si="14"/>
        <v>55.386593137254899</v>
      </c>
      <c r="S11" s="13">
        <f t="shared" si="14"/>
        <v>114.88096813725491</v>
      </c>
      <c r="U11" s="13" t="str">
        <f t="shared" si="1"/>
        <v/>
      </c>
      <c r="V11" s="13" t="str">
        <f t="shared" si="2"/>
        <v/>
      </c>
      <c r="W11" s="13" t="str">
        <f t="shared" si="15"/>
        <v/>
      </c>
    </row>
    <row r="12" spans="1:23" x14ac:dyDescent="0.25">
      <c r="A12" s="1363">
        <v>0.08</v>
      </c>
      <c r="B12" s="13">
        <f t="shared" si="3"/>
        <v>2.1999999999999999E-2</v>
      </c>
      <c r="C12" s="1364">
        <f t="shared" si="0"/>
        <v>34.5</v>
      </c>
      <c r="D12" s="1431">
        <f>B12*'Рейтинг МКД'!$D$11+'кривые-экспресс'!C12+IF('Рейтинг МКД'!$D$15="нет",7,10)</f>
        <v>170.72499999999999</v>
      </c>
      <c r="E12" s="1431" t="str">
        <f t="shared" si="4"/>
        <v/>
      </c>
      <c r="F12" s="1364" t="str">
        <f t="shared" si="5"/>
        <v/>
      </c>
      <c r="G12" s="1364" t="str">
        <f t="shared" si="6"/>
        <v/>
      </c>
      <c r="H12" s="1364">
        <f t="shared" si="7"/>
        <v>170.72499999999999</v>
      </c>
      <c r="I12" s="1364" t="str">
        <f t="shared" si="8"/>
        <v/>
      </c>
      <c r="J12" s="1364" t="str">
        <f t="shared" si="9"/>
        <v/>
      </c>
      <c r="K12" s="1364" t="str">
        <f t="shared" si="10"/>
        <v/>
      </c>
      <c r="L12" s="1364" t="str">
        <f t="shared" si="11"/>
        <v/>
      </c>
      <c r="M12" s="1364" t="str">
        <f t="shared" si="12"/>
        <v/>
      </c>
      <c r="N12" s="13">
        <f t="shared" si="13"/>
        <v>1.9823257080610023E-2</v>
      </c>
      <c r="O12" s="13">
        <f t="shared" si="14"/>
        <v>138.46648284313724</v>
      </c>
      <c r="P12" s="13">
        <f t="shared" si="14"/>
        <v>272.20242034313725</v>
      </c>
      <c r="Q12" s="13">
        <f t="shared" si="14"/>
        <v>7.929302832244009E-3</v>
      </c>
      <c r="R12" s="13">
        <f t="shared" si="14"/>
        <v>55.386593137254899</v>
      </c>
      <c r="S12" s="13">
        <f t="shared" si="14"/>
        <v>114.88096813725491</v>
      </c>
      <c r="U12" s="13" t="str">
        <f t="shared" si="1"/>
        <v/>
      </c>
      <c r="V12" s="13" t="str">
        <f t="shared" si="2"/>
        <v/>
      </c>
      <c r="W12" s="13" t="str">
        <f t="shared" si="15"/>
        <v/>
      </c>
    </row>
    <row r="13" spans="1:23" x14ac:dyDescent="0.25">
      <c r="A13" s="1363">
        <v>0.09</v>
      </c>
      <c r="B13" s="13">
        <f t="shared" si="3"/>
        <v>2.5999999999999999E-2</v>
      </c>
      <c r="C13" s="1364">
        <f t="shared" si="0"/>
        <v>37.1</v>
      </c>
      <c r="D13" s="1431">
        <f>B13*'Рейтинг МКД'!$D$11+'кривые-экспресс'!C13+IF('Рейтинг МКД'!$D$15="нет",7,10)</f>
        <v>196.27499999999998</v>
      </c>
      <c r="E13" s="1431" t="str">
        <f t="shared" si="4"/>
        <v/>
      </c>
      <c r="F13" s="1364" t="str">
        <f t="shared" si="5"/>
        <v/>
      </c>
      <c r="G13" s="1364" t="str">
        <f t="shared" si="6"/>
        <v/>
      </c>
      <c r="H13" s="1364" t="str">
        <f t="shared" si="7"/>
        <v/>
      </c>
      <c r="I13" s="1364">
        <f t="shared" si="8"/>
        <v>196.27499999999998</v>
      </c>
      <c r="J13" s="1364" t="str">
        <f t="shared" si="9"/>
        <v/>
      </c>
      <c r="K13" s="1364" t="str">
        <f t="shared" si="10"/>
        <v/>
      </c>
      <c r="L13" s="1364" t="str">
        <f t="shared" si="11"/>
        <v/>
      </c>
      <c r="M13" s="1364" t="str">
        <f t="shared" si="12"/>
        <v/>
      </c>
      <c r="N13" s="13">
        <f t="shared" si="13"/>
        <v>1.9823257080610023E-2</v>
      </c>
      <c r="O13" s="13">
        <f t="shared" si="14"/>
        <v>138.46648284313724</v>
      </c>
      <c r="P13" s="13">
        <f t="shared" si="14"/>
        <v>272.20242034313725</v>
      </c>
      <c r="Q13" s="13">
        <f t="shared" si="14"/>
        <v>7.929302832244009E-3</v>
      </c>
      <c r="R13" s="13">
        <f t="shared" si="14"/>
        <v>55.386593137254899</v>
      </c>
      <c r="S13" s="13">
        <f t="shared" si="14"/>
        <v>114.88096813725491</v>
      </c>
      <c r="U13" s="13" t="str">
        <f t="shared" si="1"/>
        <v/>
      </c>
      <c r="V13" s="13" t="str">
        <f t="shared" si="2"/>
        <v/>
      </c>
      <c r="W13" s="13" t="str">
        <f t="shared" si="15"/>
        <v/>
      </c>
    </row>
    <row r="14" spans="1:23" x14ac:dyDescent="0.25">
      <c r="A14" s="1363">
        <v>0.1</v>
      </c>
      <c r="B14" s="13">
        <f t="shared" si="3"/>
        <v>2.5999999999999999E-2</v>
      </c>
      <c r="C14" s="1364">
        <f t="shared" si="0"/>
        <v>37.1</v>
      </c>
      <c r="D14" s="1431">
        <f>B14*'Рейтинг МКД'!$D$11+'кривые-экспресс'!C14+IF('Рейтинг МКД'!$D$15="нет",7,10)</f>
        <v>196.27499999999998</v>
      </c>
      <c r="E14" s="1431" t="str">
        <f t="shared" si="4"/>
        <v/>
      </c>
      <c r="F14" s="1364" t="str">
        <f t="shared" si="5"/>
        <v/>
      </c>
      <c r="G14" s="1364" t="str">
        <f t="shared" si="6"/>
        <v/>
      </c>
      <c r="H14" s="1364" t="str">
        <f t="shared" si="7"/>
        <v/>
      </c>
      <c r="I14" s="1364">
        <f t="shared" si="8"/>
        <v>196.27499999999998</v>
      </c>
      <c r="J14" s="1364" t="str">
        <f t="shared" si="9"/>
        <v/>
      </c>
      <c r="K14" s="1364" t="str">
        <f t="shared" si="10"/>
        <v/>
      </c>
      <c r="L14" s="1364" t="str">
        <f t="shared" si="11"/>
        <v/>
      </c>
      <c r="M14" s="1364" t="str">
        <f t="shared" si="12"/>
        <v/>
      </c>
      <c r="N14" s="13">
        <f t="shared" si="13"/>
        <v>1.9823257080610023E-2</v>
      </c>
      <c r="O14" s="13">
        <f t="shared" si="14"/>
        <v>138.46648284313724</v>
      </c>
      <c r="P14" s="13">
        <f t="shared" si="14"/>
        <v>272.20242034313725</v>
      </c>
      <c r="Q14" s="13">
        <f t="shared" si="14"/>
        <v>7.929302832244009E-3</v>
      </c>
      <c r="R14" s="13">
        <f t="shared" si="14"/>
        <v>55.386593137254899</v>
      </c>
      <c r="S14" s="13">
        <f t="shared" si="14"/>
        <v>114.88096813725491</v>
      </c>
      <c r="U14" s="13" t="str">
        <f t="shared" si="1"/>
        <v/>
      </c>
      <c r="V14" s="13" t="str">
        <f t="shared" si="2"/>
        <v/>
      </c>
      <c r="W14" s="13" t="str">
        <f t="shared" si="15"/>
        <v/>
      </c>
    </row>
    <row r="15" spans="1:23" x14ac:dyDescent="0.25">
      <c r="A15" s="1363">
        <v>0.11</v>
      </c>
      <c r="B15" s="13">
        <f t="shared" si="3"/>
        <v>2.8000000000000001E-2</v>
      </c>
      <c r="C15" s="1364">
        <f t="shared" si="0"/>
        <v>40.700000000000003</v>
      </c>
      <c r="D15" s="1431">
        <f>B15*'Рейтинг МКД'!$D$11+'кривые-экспресс'!C15+IF('Рейтинг МКД'!$D$15="нет",7,10)</f>
        <v>211.35000000000002</v>
      </c>
      <c r="E15" s="1431" t="str">
        <f t="shared" si="4"/>
        <v/>
      </c>
      <c r="F15" s="1364" t="str">
        <f t="shared" si="5"/>
        <v/>
      </c>
      <c r="G15" s="1364" t="str">
        <f t="shared" si="6"/>
        <v/>
      </c>
      <c r="H15" s="1364" t="str">
        <f t="shared" si="7"/>
        <v/>
      </c>
      <c r="I15" s="1364">
        <f t="shared" si="8"/>
        <v>211.35000000000002</v>
      </c>
      <c r="J15" s="1364" t="str">
        <f t="shared" si="9"/>
        <v/>
      </c>
      <c r="K15" s="1364" t="str">
        <f t="shared" si="10"/>
        <v/>
      </c>
      <c r="L15" s="1364" t="str">
        <f t="shared" si="11"/>
        <v/>
      </c>
      <c r="M15" s="1364" t="str">
        <f t="shared" si="12"/>
        <v/>
      </c>
      <c r="N15" s="13">
        <f t="shared" si="13"/>
        <v>1.9823257080610023E-2</v>
      </c>
      <c r="O15" s="13">
        <f t="shared" si="14"/>
        <v>138.46648284313724</v>
      </c>
      <c r="P15" s="13">
        <f t="shared" si="14"/>
        <v>272.20242034313725</v>
      </c>
      <c r="Q15" s="13">
        <f t="shared" si="14"/>
        <v>7.929302832244009E-3</v>
      </c>
      <c r="R15" s="13">
        <f t="shared" si="14"/>
        <v>55.386593137254899</v>
      </c>
      <c r="S15" s="13">
        <f t="shared" si="14"/>
        <v>114.88096813725491</v>
      </c>
      <c r="U15" s="13" t="str">
        <f t="shared" si="1"/>
        <v/>
      </c>
      <c r="V15" s="13" t="str">
        <f t="shared" si="2"/>
        <v/>
      </c>
      <c r="W15" s="13" t="str">
        <f t="shared" si="15"/>
        <v/>
      </c>
    </row>
    <row r="16" spans="1:23" x14ac:dyDescent="0.25">
      <c r="A16" s="1363">
        <v>0.12</v>
      </c>
      <c r="B16" s="13">
        <f t="shared" si="3"/>
        <v>2.8000000000000001E-2</v>
      </c>
      <c r="C16" s="1364">
        <f t="shared" si="0"/>
        <v>40.700000000000003</v>
      </c>
      <c r="D16" s="1431">
        <f>B16*'Рейтинг МКД'!$D$11+'кривые-экспресс'!C16+IF('Рейтинг МКД'!$D$15="нет",7,10)</f>
        <v>211.35000000000002</v>
      </c>
      <c r="E16" s="1431" t="str">
        <f t="shared" si="4"/>
        <v/>
      </c>
      <c r="F16" s="1364" t="str">
        <f t="shared" si="5"/>
        <v/>
      </c>
      <c r="G16" s="1364" t="str">
        <f t="shared" si="6"/>
        <v/>
      </c>
      <c r="H16" s="1364" t="str">
        <f t="shared" si="7"/>
        <v/>
      </c>
      <c r="I16" s="1364">
        <f t="shared" si="8"/>
        <v>211.35000000000002</v>
      </c>
      <c r="J16" s="1364" t="str">
        <f t="shared" si="9"/>
        <v/>
      </c>
      <c r="K16" s="1364" t="str">
        <f t="shared" si="10"/>
        <v/>
      </c>
      <c r="L16" s="1364" t="str">
        <f t="shared" si="11"/>
        <v/>
      </c>
      <c r="M16" s="1364" t="str">
        <f t="shared" si="12"/>
        <v/>
      </c>
      <c r="N16" s="13">
        <f t="shared" si="13"/>
        <v>1.9823257080610023E-2</v>
      </c>
      <c r="O16" s="13">
        <f t="shared" si="14"/>
        <v>138.46648284313724</v>
      </c>
      <c r="P16" s="13">
        <f t="shared" si="14"/>
        <v>272.20242034313725</v>
      </c>
      <c r="Q16" s="13">
        <f t="shared" si="14"/>
        <v>7.929302832244009E-3</v>
      </c>
      <c r="R16" s="13">
        <f t="shared" si="14"/>
        <v>55.386593137254899</v>
      </c>
      <c r="S16" s="13">
        <f t="shared" si="14"/>
        <v>114.88096813725491</v>
      </c>
      <c r="U16" s="13" t="str">
        <f t="shared" si="1"/>
        <v/>
      </c>
      <c r="V16" s="13" t="str">
        <f t="shared" si="2"/>
        <v/>
      </c>
      <c r="W16" s="13" t="str">
        <f t="shared" si="15"/>
        <v/>
      </c>
    </row>
    <row r="17" spans="1:23" x14ac:dyDescent="0.25">
      <c r="A17" s="1363">
        <v>0.13</v>
      </c>
      <c r="B17" s="13">
        <f t="shared" si="3"/>
        <v>2.9000000000000001E-2</v>
      </c>
      <c r="C17" s="1364">
        <f t="shared" si="0"/>
        <v>43.8</v>
      </c>
      <c r="D17" s="1431">
        <f>B17*'Рейтинг МКД'!$D$11+'кривые-экспресс'!C17+IF('Рейтинг МКД'!$D$15="нет",7,10)</f>
        <v>220.1875</v>
      </c>
      <c r="E17" s="1431" t="str">
        <f t="shared" si="4"/>
        <v/>
      </c>
      <c r="F17" s="1364" t="str">
        <f t="shared" si="5"/>
        <v/>
      </c>
      <c r="G17" s="1364" t="str">
        <f t="shared" si="6"/>
        <v/>
      </c>
      <c r="H17" s="1364" t="str">
        <f t="shared" si="7"/>
        <v/>
      </c>
      <c r="I17" s="1364">
        <f t="shared" si="8"/>
        <v>220.1875</v>
      </c>
      <c r="J17" s="1364" t="str">
        <f t="shared" si="9"/>
        <v/>
      </c>
      <c r="K17" s="1364" t="str">
        <f t="shared" si="10"/>
        <v/>
      </c>
      <c r="L17" s="1364" t="str">
        <f t="shared" si="11"/>
        <v/>
      </c>
      <c r="M17" s="1364" t="str">
        <f t="shared" si="12"/>
        <v/>
      </c>
      <c r="N17" s="13">
        <f t="shared" si="13"/>
        <v>1.9823257080610023E-2</v>
      </c>
      <c r="O17" s="13">
        <f t="shared" si="14"/>
        <v>138.46648284313724</v>
      </c>
      <c r="P17" s="13">
        <f t="shared" si="14"/>
        <v>272.20242034313725</v>
      </c>
      <c r="Q17" s="13">
        <f t="shared" si="14"/>
        <v>7.929302832244009E-3</v>
      </c>
      <c r="R17" s="13">
        <f t="shared" si="14"/>
        <v>55.386593137254899</v>
      </c>
      <c r="S17" s="13">
        <f t="shared" si="14"/>
        <v>114.88096813725491</v>
      </c>
      <c r="U17" s="13" t="str">
        <f t="shared" si="1"/>
        <v/>
      </c>
      <c r="V17" s="13" t="str">
        <f t="shared" si="2"/>
        <v/>
      </c>
      <c r="W17" s="13" t="str">
        <f t="shared" si="15"/>
        <v/>
      </c>
    </row>
    <row r="18" spans="1:23" x14ac:dyDescent="0.25">
      <c r="A18" s="1363">
        <v>0.14000000000000001</v>
      </c>
      <c r="B18" s="13">
        <f t="shared" si="3"/>
        <v>2.9000000000000001E-2</v>
      </c>
      <c r="C18" s="1364">
        <f t="shared" si="0"/>
        <v>43.8</v>
      </c>
      <c r="D18" s="1431">
        <f>B18*'Рейтинг МКД'!$D$11+'кривые-экспресс'!C18+IF('Рейтинг МКД'!$D$15="нет",7,10)</f>
        <v>220.1875</v>
      </c>
      <c r="E18" s="1431" t="str">
        <f t="shared" si="4"/>
        <v/>
      </c>
      <c r="F18" s="1364" t="str">
        <f t="shared" si="5"/>
        <v/>
      </c>
      <c r="G18" s="1364" t="str">
        <f t="shared" si="6"/>
        <v/>
      </c>
      <c r="H18" s="1364" t="str">
        <f t="shared" si="7"/>
        <v/>
      </c>
      <c r="I18" s="1364">
        <f t="shared" si="8"/>
        <v>220.1875</v>
      </c>
      <c r="J18" s="1364" t="str">
        <f t="shared" si="9"/>
        <v/>
      </c>
      <c r="K18" s="1364" t="str">
        <f t="shared" si="10"/>
        <v/>
      </c>
      <c r="L18" s="1364" t="str">
        <f t="shared" si="11"/>
        <v/>
      </c>
      <c r="M18" s="1364" t="str">
        <f t="shared" si="12"/>
        <v/>
      </c>
      <c r="N18" s="13">
        <f t="shared" si="13"/>
        <v>1.9823257080610023E-2</v>
      </c>
      <c r="O18" s="13">
        <f t="shared" si="14"/>
        <v>138.46648284313724</v>
      </c>
      <c r="P18" s="13">
        <f t="shared" si="14"/>
        <v>272.20242034313725</v>
      </c>
      <c r="Q18" s="13">
        <f t="shared" si="14"/>
        <v>7.929302832244009E-3</v>
      </c>
      <c r="R18" s="13">
        <f t="shared" si="14"/>
        <v>55.386593137254899</v>
      </c>
      <c r="S18" s="13">
        <f t="shared" si="14"/>
        <v>114.88096813725491</v>
      </c>
      <c r="U18" s="13" t="str">
        <f t="shared" si="1"/>
        <v/>
      </c>
      <c r="V18" s="13" t="str">
        <f t="shared" si="2"/>
        <v/>
      </c>
      <c r="W18" s="13" t="str">
        <f t="shared" si="15"/>
        <v/>
      </c>
    </row>
    <row r="19" spans="1:23" x14ac:dyDescent="0.25">
      <c r="A19" s="1363">
        <v>0.15</v>
      </c>
      <c r="B19" s="13">
        <f t="shared" si="3"/>
        <v>3.1E-2</v>
      </c>
      <c r="C19" s="1364">
        <f t="shared" si="0"/>
        <v>45.6</v>
      </c>
      <c r="D19" s="1431">
        <f>B19*'Рейтинг МКД'!$D$11+'кривые-экспресс'!C19+IF('Рейтинг МКД'!$D$15="нет",7,10)</f>
        <v>233.46250000000001</v>
      </c>
      <c r="E19" s="1431" t="str">
        <f t="shared" si="4"/>
        <v/>
      </c>
      <c r="F19" s="1364" t="str">
        <f t="shared" si="5"/>
        <v/>
      </c>
      <c r="G19" s="1364" t="str">
        <f t="shared" si="6"/>
        <v/>
      </c>
      <c r="H19" s="1364" t="str">
        <f t="shared" si="7"/>
        <v/>
      </c>
      <c r="I19" s="1364" t="str">
        <f t="shared" si="8"/>
        <v/>
      </c>
      <c r="J19" s="1364">
        <f t="shared" si="9"/>
        <v>233.46250000000001</v>
      </c>
      <c r="K19" s="1364" t="str">
        <f t="shared" si="10"/>
        <v/>
      </c>
      <c r="L19" s="1364" t="str">
        <f t="shared" si="11"/>
        <v/>
      </c>
      <c r="M19" s="1364" t="str">
        <f t="shared" si="12"/>
        <v/>
      </c>
      <c r="N19" s="13">
        <f t="shared" si="13"/>
        <v>1.9823257080610023E-2</v>
      </c>
      <c r="O19" s="13">
        <f t="shared" si="14"/>
        <v>138.46648284313724</v>
      </c>
      <c r="P19" s="13">
        <f t="shared" si="14"/>
        <v>272.20242034313725</v>
      </c>
      <c r="Q19" s="13">
        <f t="shared" si="14"/>
        <v>7.929302832244009E-3</v>
      </c>
      <c r="R19" s="13">
        <f t="shared" si="14"/>
        <v>55.386593137254899</v>
      </c>
      <c r="S19" s="13">
        <f t="shared" si="14"/>
        <v>114.88096813725491</v>
      </c>
      <c r="U19" s="13" t="str">
        <f t="shared" si="1"/>
        <v/>
      </c>
      <c r="V19" s="13" t="str">
        <f t="shared" si="2"/>
        <v/>
      </c>
      <c r="W19" s="13" t="str">
        <f t="shared" si="15"/>
        <v/>
      </c>
    </row>
    <row r="20" spans="1:23" x14ac:dyDescent="0.25">
      <c r="A20" s="1363">
        <v>0.16</v>
      </c>
      <c r="B20" s="13">
        <f t="shared" si="3"/>
        <v>3.1E-2</v>
      </c>
      <c r="C20" s="1364">
        <f t="shared" si="0"/>
        <v>45.6</v>
      </c>
      <c r="D20" s="1431">
        <f>B20*'Рейтинг МКД'!$D$11+'кривые-экспресс'!C20+IF('Рейтинг МКД'!$D$15="нет",7,10)</f>
        <v>233.46250000000001</v>
      </c>
      <c r="E20" s="1431" t="str">
        <f t="shared" si="4"/>
        <v/>
      </c>
      <c r="F20" s="1364" t="str">
        <f t="shared" si="5"/>
        <v/>
      </c>
      <c r="G20" s="1364" t="str">
        <f t="shared" si="6"/>
        <v/>
      </c>
      <c r="H20" s="1364" t="str">
        <f t="shared" si="7"/>
        <v/>
      </c>
      <c r="I20" s="1364" t="str">
        <f t="shared" si="8"/>
        <v/>
      </c>
      <c r="J20" s="1364">
        <f t="shared" si="9"/>
        <v>233.46250000000001</v>
      </c>
      <c r="K20" s="1364" t="str">
        <f t="shared" si="10"/>
        <v/>
      </c>
      <c r="L20" s="1364" t="str">
        <f t="shared" si="11"/>
        <v/>
      </c>
      <c r="M20" s="1364" t="str">
        <f t="shared" si="12"/>
        <v/>
      </c>
      <c r="N20" s="13">
        <f t="shared" si="13"/>
        <v>1.9823257080610023E-2</v>
      </c>
      <c r="O20" s="13">
        <f t="shared" si="14"/>
        <v>138.46648284313724</v>
      </c>
      <c r="P20" s="13">
        <f t="shared" si="14"/>
        <v>272.20242034313725</v>
      </c>
      <c r="Q20" s="13">
        <f t="shared" si="14"/>
        <v>7.929302832244009E-3</v>
      </c>
      <c r="R20" s="13">
        <f t="shared" si="14"/>
        <v>55.386593137254899</v>
      </c>
      <c r="S20" s="13">
        <f t="shared" si="14"/>
        <v>114.88096813725491</v>
      </c>
      <c r="U20" s="13" t="str">
        <f t="shared" si="1"/>
        <v/>
      </c>
      <c r="V20" s="13" t="str">
        <f t="shared" si="2"/>
        <v/>
      </c>
      <c r="W20" s="13" t="str">
        <f t="shared" si="15"/>
        <v/>
      </c>
    </row>
    <row r="21" spans="1:23" x14ac:dyDescent="0.25">
      <c r="A21" s="1363">
        <v>0.17</v>
      </c>
      <c r="B21" s="13">
        <f t="shared" si="3"/>
        <v>3.2000000000000001E-2</v>
      </c>
      <c r="C21" s="1364">
        <f t="shared" si="0"/>
        <v>47.4</v>
      </c>
      <c r="D21" s="1431">
        <f>B21*'Рейтинг МКД'!$D$11+'кривые-экспресс'!C21+IF('Рейтинг МКД'!$D$15="нет",7,10)</f>
        <v>241</v>
      </c>
      <c r="E21" s="1431" t="str">
        <f t="shared" si="4"/>
        <v/>
      </c>
      <c r="F21" s="1364" t="str">
        <f t="shared" si="5"/>
        <v/>
      </c>
      <c r="G21" s="1364" t="str">
        <f t="shared" si="6"/>
        <v/>
      </c>
      <c r="H21" s="1364" t="str">
        <f t="shared" si="7"/>
        <v/>
      </c>
      <c r="I21" s="1364" t="str">
        <f t="shared" si="8"/>
        <v/>
      </c>
      <c r="J21" s="1364">
        <f t="shared" si="9"/>
        <v>241</v>
      </c>
      <c r="K21" s="1364" t="str">
        <f t="shared" si="10"/>
        <v/>
      </c>
      <c r="L21" s="1364" t="str">
        <f t="shared" si="11"/>
        <v/>
      </c>
      <c r="M21" s="1364" t="str">
        <f t="shared" si="12"/>
        <v/>
      </c>
      <c r="N21" s="13">
        <f t="shared" si="13"/>
        <v>1.9823257080610023E-2</v>
      </c>
      <c r="O21" s="13">
        <f t="shared" si="14"/>
        <v>138.46648284313724</v>
      </c>
      <c r="P21" s="13">
        <f t="shared" si="14"/>
        <v>272.20242034313725</v>
      </c>
      <c r="Q21" s="13">
        <f t="shared" si="14"/>
        <v>7.929302832244009E-3</v>
      </c>
      <c r="R21" s="13">
        <f t="shared" si="14"/>
        <v>55.386593137254899</v>
      </c>
      <c r="S21" s="13">
        <f t="shared" si="14"/>
        <v>114.88096813725491</v>
      </c>
      <c r="U21" s="13" t="str">
        <f t="shared" si="1"/>
        <v/>
      </c>
      <c r="V21" s="13" t="str">
        <f t="shared" si="2"/>
        <v/>
      </c>
      <c r="W21" s="13" t="str">
        <f t="shared" si="15"/>
        <v/>
      </c>
    </row>
    <row r="22" spans="1:23" x14ac:dyDescent="0.25">
      <c r="A22" s="1363">
        <v>0.18</v>
      </c>
      <c r="B22" s="13">
        <f t="shared" si="3"/>
        <v>3.2000000000000001E-2</v>
      </c>
      <c r="C22" s="1364">
        <f t="shared" si="0"/>
        <v>47.4</v>
      </c>
      <c r="D22" s="1431">
        <f>B22*'Рейтинг МКД'!$D$11+'кривые-экспресс'!C22+IF('Рейтинг МКД'!$D$15="нет",7,10)</f>
        <v>241</v>
      </c>
      <c r="E22" s="1431" t="str">
        <f t="shared" si="4"/>
        <v/>
      </c>
      <c r="F22" s="1364" t="str">
        <f t="shared" si="5"/>
        <v/>
      </c>
      <c r="G22" s="1364" t="str">
        <f t="shared" si="6"/>
        <v/>
      </c>
      <c r="H22" s="1364" t="str">
        <f t="shared" si="7"/>
        <v/>
      </c>
      <c r="I22" s="1364" t="str">
        <f t="shared" si="8"/>
        <v/>
      </c>
      <c r="J22" s="1364">
        <f t="shared" si="9"/>
        <v>241</v>
      </c>
      <c r="K22" s="1364" t="str">
        <f t="shared" si="10"/>
        <v/>
      </c>
      <c r="L22" s="1364" t="str">
        <f t="shared" si="11"/>
        <v/>
      </c>
      <c r="M22" s="1364" t="str">
        <f t="shared" si="12"/>
        <v/>
      </c>
      <c r="N22" s="13">
        <f t="shared" si="13"/>
        <v>1.9823257080610023E-2</v>
      </c>
      <c r="O22" s="13">
        <f>O21</f>
        <v>138.46648284313724</v>
      </c>
      <c r="P22" s="13">
        <f>P21</f>
        <v>272.20242034313725</v>
      </c>
      <c r="Q22" s="13">
        <f>Q21</f>
        <v>7.929302832244009E-3</v>
      </c>
      <c r="R22" s="13">
        <f>R21</f>
        <v>55.386593137254899</v>
      </c>
      <c r="S22" s="13">
        <f>S21</f>
        <v>114.88096813725491</v>
      </c>
      <c r="U22" s="13" t="str">
        <f t="shared" si="1"/>
        <v/>
      </c>
      <c r="V22" s="13" t="str">
        <f t="shared" si="2"/>
        <v/>
      </c>
      <c r="W22" s="13" t="str">
        <f t="shared" si="15"/>
        <v/>
      </c>
    </row>
    <row r="23" spans="1:23" x14ac:dyDescent="0.25">
      <c r="A23" s="1363">
        <v>0.19</v>
      </c>
      <c r="B23" s="13">
        <f t="shared" si="3"/>
        <v>3.3000000000000002E-2</v>
      </c>
      <c r="C23" s="1364">
        <f t="shared" si="0"/>
        <v>49.4</v>
      </c>
      <c r="D23" s="1431">
        <f>B23*'Рейтинг МКД'!$D$11+'кривые-экспресс'!C23+IF('Рейтинг МКД'!$D$15="нет",7,10)</f>
        <v>248.73750000000001</v>
      </c>
      <c r="E23" s="1431" t="str">
        <f t="shared" si="4"/>
        <v/>
      </c>
      <c r="F23" s="1364" t="str">
        <f t="shared" si="5"/>
        <v/>
      </c>
      <c r="G23" s="1364" t="str">
        <f t="shared" si="6"/>
        <v/>
      </c>
      <c r="H23" s="1364" t="str">
        <f t="shared" si="7"/>
        <v/>
      </c>
      <c r="I23" s="1364" t="str">
        <f t="shared" si="8"/>
        <v/>
      </c>
      <c r="J23" s="1364">
        <f t="shared" si="9"/>
        <v>248.73750000000001</v>
      </c>
      <c r="K23" s="1364" t="str">
        <f t="shared" si="10"/>
        <v/>
      </c>
      <c r="L23" s="1364" t="str">
        <f t="shared" si="11"/>
        <v/>
      </c>
      <c r="M23" s="1364" t="str">
        <f t="shared" si="12"/>
        <v/>
      </c>
      <c r="N23" s="13">
        <f t="shared" ref="N23:S38" si="16">N22</f>
        <v>1.9823257080610023E-2</v>
      </c>
      <c r="O23" s="13">
        <f t="shared" si="16"/>
        <v>138.46648284313724</v>
      </c>
      <c r="P23" s="13">
        <f t="shared" si="16"/>
        <v>272.20242034313725</v>
      </c>
      <c r="Q23" s="13">
        <f t="shared" si="16"/>
        <v>7.929302832244009E-3</v>
      </c>
      <c r="R23" s="13">
        <f t="shared" si="16"/>
        <v>55.386593137254899</v>
      </c>
      <c r="S23" s="13">
        <f t="shared" si="16"/>
        <v>114.88096813725491</v>
      </c>
      <c r="U23" s="13" t="str">
        <f t="shared" si="1"/>
        <v/>
      </c>
      <c r="V23" s="13" t="str">
        <f t="shared" si="2"/>
        <v/>
      </c>
      <c r="W23" s="13" t="str">
        <f t="shared" si="15"/>
        <v/>
      </c>
    </row>
    <row r="24" spans="1:23" x14ac:dyDescent="0.25">
      <c r="A24" s="1363">
        <v>0.2</v>
      </c>
      <c r="B24" s="13">
        <f t="shared" si="3"/>
        <v>3.3000000000000002E-2</v>
      </c>
      <c r="C24" s="1364">
        <f t="shared" si="0"/>
        <v>49.4</v>
      </c>
      <c r="D24" s="1431">
        <f>B24*'Рейтинг МКД'!$D$11+'кривые-экспресс'!C24+IF('Рейтинг МКД'!$D$15="нет",7,10)</f>
        <v>248.73750000000001</v>
      </c>
      <c r="E24" s="1431" t="str">
        <f t="shared" si="4"/>
        <v/>
      </c>
      <c r="F24" s="1364" t="str">
        <f t="shared" si="5"/>
        <v/>
      </c>
      <c r="G24" s="1364" t="str">
        <f t="shared" si="6"/>
        <v/>
      </c>
      <c r="H24" s="1364" t="str">
        <f t="shared" si="7"/>
        <v/>
      </c>
      <c r="I24" s="1364" t="str">
        <f t="shared" si="8"/>
        <v/>
      </c>
      <c r="J24" s="1364">
        <f t="shared" si="9"/>
        <v>248.73750000000001</v>
      </c>
      <c r="K24" s="1364" t="str">
        <f t="shared" si="10"/>
        <v/>
      </c>
      <c r="L24" s="1364" t="str">
        <f t="shared" si="11"/>
        <v/>
      </c>
      <c r="M24" s="1364" t="str">
        <f t="shared" si="12"/>
        <v/>
      </c>
      <c r="N24" s="13">
        <f t="shared" si="16"/>
        <v>1.9823257080610023E-2</v>
      </c>
      <c r="O24" s="13">
        <f t="shared" si="16"/>
        <v>138.46648284313724</v>
      </c>
      <c r="P24" s="13">
        <f t="shared" si="16"/>
        <v>272.20242034313725</v>
      </c>
      <c r="Q24" s="13">
        <f t="shared" si="16"/>
        <v>7.929302832244009E-3</v>
      </c>
      <c r="R24" s="13">
        <f t="shared" si="16"/>
        <v>55.386593137254899</v>
      </c>
      <c r="S24" s="13">
        <f t="shared" si="16"/>
        <v>114.88096813725491</v>
      </c>
      <c r="U24" s="13" t="str">
        <f t="shared" si="1"/>
        <v/>
      </c>
      <c r="V24" s="13" t="str">
        <f t="shared" si="2"/>
        <v/>
      </c>
      <c r="W24" s="13" t="str">
        <f t="shared" si="15"/>
        <v/>
      </c>
    </row>
    <row r="25" spans="1:23" x14ac:dyDescent="0.25">
      <c r="A25" s="1363">
        <v>0.21</v>
      </c>
      <c r="B25" s="13">
        <f t="shared" si="3"/>
        <v>3.4000000000000002E-2</v>
      </c>
      <c r="C25" s="1364">
        <f t="shared" si="0"/>
        <v>51.7</v>
      </c>
      <c r="D25" s="1431">
        <f>B25*'Рейтинг МКД'!$D$11+'кривые-экспресс'!C25+IF('Рейтинг МКД'!$D$15="нет",7,10)</f>
        <v>256.77500000000003</v>
      </c>
      <c r="E25" s="1431" t="str">
        <f t="shared" si="4"/>
        <v/>
      </c>
      <c r="F25" s="1364" t="str">
        <f t="shared" si="5"/>
        <v/>
      </c>
      <c r="G25" s="1364" t="str">
        <f t="shared" si="6"/>
        <v/>
      </c>
      <c r="H25" s="1364" t="str">
        <f t="shared" si="7"/>
        <v/>
      </c>
      <c r="I25" s="1364" t="str">
        <f t="shared" si="8"/>
        <v/>
      </c>
      <c r="J25" s="1364">
        <f t="shared" si="9"/>
        <v>256.77500000000003</v>
      </c>
      <c r="K25" s="1364" t="str">
        <f t="shared" si="10"/>
        <v/>
      </c>
      <c r="L25" s="1364" t="str">
        <f t="shared" si="11"/>
        <v/>
      </c>
      <c r="M25" s="1364" t="str">
        <f t="shared" si="12"/>
        <v/>
      </c>
      <c r="N25" s="13">
        <f t="shared" si="16"/>
        <v>1.9823257080610023E-2</v>
      </c>
      <c r="O25" s="13">
        <f t="shared" si="16"/>
        <v>138.46648284313724</v>
      </c>
      <c r="P25" s="13">
        <f t="shared" si="16"/>
        <v>272.20242034313725</v>
      </c>
      <c r="Q25" s="13">
        <f t="shared" si="16"/>
        <v>7.929302832244009E-3</v>
      </c>
      <c r="R25" s="13">
        <f t="shared" si="16"/>
        <v>55.386593137254899</v>
      </c>
      <c r="S25" s="13">
        <f t="shared" si="16"/>
        <v>114.88096813725491</v>
      </c>
      <c r="U25" s="13" t="str">
        <f t="shared" si="1"/>
        <v/>
      </c>
      <c r="V25" s="13" t="str">
        <f t="shared" si="2"/>
        <v/>
      </c>
      <c r="W25" s="13" t="str">
        <f t="shared" si="15"/>
        <v/>
      </c>
    </row>
    <row r="26" spans="1:23" x14ac:dyDescent="0.25">
      <c r="A26" s="1363">
        <v>0.22</v>
      </c>
      <c r="B26" s="13">
        <f t="shared" si="3"/>
        <v>3.4000000000000002E-2</v>
      </c>
      <c r="C26" s="1364">
        <f t="shared" si="0"/>
        <v>51.7</v>
      </c>
      <c r="D26" s="1431">
        <f>B26*'Рейтинг МКД'!$D$11+'кривые-экспресс'!C26+IF('Рейтинг МКД'!$D$15="нет",7,10)</f>
        <v>256.77500000000003</v>
      </c>
      <c r="E26" s="1431" t="str">
        <f t="shared" si="4"/>
        <v/>
      </c>
      <c r="F26" s="1364" t="str">
        <f t="shared" si="5"/>
        <v/>
      </c>
      <c r="G26" s="1364" t="str">
        <f t="shared" si="6"/>
        <v/>
      </c>
      <c r="H26" s="1364" t="str">
        <f t="shared" si="7"/>
        <v/>
      </c>
      <c r="I26" s="1364" t="str">
        <f t="shared" si="8"/>
        <v/>
      </c>
      <c r="J26" s="1364">
        <f t="shared" si="9"/>
        <v>256.77500000000003</v>
      </c>
      <c r="K26" s="1364" t="str">
        <f t="shared" si="10"/>
        <v/>
      </c>
      <c r="L26" s="1364" t="str">
        <f t="shared" si="11"/>
        <v/>
      </c>
      <c r="M26" s="1364" t="str">
        <f t="shared" si="12"/>
        <v/>
      </c>
      <c r="N26" s="13">
        <f t="shared" si="16"/>
        <v>1.9823257080610023E-2</v>
      </c>
      <c r="O26" s="13">
        <f t="shared" si="16"/>
        <v>138.46648284313724</v>
      </c>
      <c r="P26" s="13">
        <f t="shared" si="16"/>
        <v>272.20242034313725</v>
      </c>
      <c r="Q26" s="13">
        <f t="shared" si="16"/>
        <v>7.929302832244009E-3</v>
      </c>
      <c r="R26" s="13">
        <f t="shared" si="16"/>
        <v>55.386593137254899</v>
      </c>
      <c r="S26" s="13">
        <f t="shared" si="16"/>
        <v>114.88096813725491</v>
      </c>
      <c r="U26" s="13" t="str">
        <f t="shared" si="1"/>
        <v/>
      </c>
      <c r="V26" s="13" t="str">
        <f t="shared" si="2"/>
        <v/>
      </c>
      <c r="W26" s="13" t="str">
        <f t="shared" si="15"/>
        <v/>
      </c>
    </row>
    <row r="27" spans="1:23" x14ac:dyDescent="0.25">
      <c r="A27" s="1363">
        <v>0.23</v>
      </c>
      <c r="B27" s="13">
        <f t="shared" si="3"/>
        <v>3.4000000000000002E-2</v>
      </c>
      <c r="C27" s="1364">
        <f t="shared" si="0"/>
        <v>54.2</v>
      </c>
      <c r="D27" s="1431">
        <f>B27*'Рейтинг МКД'!$D$11+'кривые-экспресс'!C27+IF('Рейтинг МКД'!$D$15="нет",7,10)</f>
        <v>259.27500000000003</v>
      </c>
      <c r="E27" s="1431" t="str">
        <f t="shared" si="4"/>
        <v/>
      </c>
      <c r="F27" s="1364" t="str">
        <f t="shared" si="5"/>
        <v/>
      </c>
      <c r="G27" s="1364" t="str">
        <f t="shared" si="6"/>
        <v/>
      </c>
      <c r="H27" s="1364" t="str">
        <f t="shared" si="7"/>
        <v/>
      </c>
      <c r="I27" s="1364" t="str">
        <f t="shared" si="8"/>
        <v/>
      </c>
      <c r="J27" s="1364">
        <f t="shared" si="9"/>
        <v>259.27500000000003</v>
      </c>
      <c r="K27" s="1364" t="str">
        <f t="shared" si="10"/>
        <v/>
      </c>
      <c r="L27" s="1364" t="str">
        <f t="shared" si="11"/>
        <v/>
      </c>
      <c r="M27" s="1364" t="str">
        <f t="shared" si="12"/>
        <v/>
      </c>
      <c r="N27" s="13">
        <f t="shared" si="16"/>
        <v>1.9823257080610023E-2</v>
      </c>
      <c r="O27" s="13">
        <f t="shared" si="16"/>
        <v>138.46648284313724</v>
      </c>
      <c r="P27" s="13">
        <f t="shared" si="16"/>
        <v>272.20242034313725</v>
      </c>
      <c r="Q27" s="13">
        <f t="shared" si="16"/>
        <v>7.929302832244009E-3</v>
      </c>
      <c r="R27" s="13">
        <f t="shared" si="16"/>
        <v>55.386593137254899</v>
      </c>
      <c r="S27" s="13">
        <f t="shared" si="16"/>
        <v>114.88096813725491</v>
      </c>
      <c r="U27" s="13" t="str">
        <f t="shared" si="1"/>
        <v/>
      </c>
      <c r="V27" s="13" t="str">
        <f t="shared" si="2"/>
        <v/>
      </c>
      <c r="W27" s="13" t="str">
        <f t="shared" si="15"/>
        <v/>
      </c>
    </row>
    <row r="28" spans="1:23" x14ac:dyDescent="0.25">
      <c r="A28" s="1363">
        <v>0.24</v>
      </c>
      <c r="B28" s="13">
        <f t="shared" si="3"/>
        <v>3.4000000000000002E-2</v>
      </c>
      <c r="C28" s="1364">
        <f t="shared" si="0"/>
        <v>54.2</v>
      </c>
      <c r="D28" s="1431">
        <f>B28*'Рейтинг МКД'!$D$11+'кривые-экспресс'!C28+IF('Рейтинг МКД'!$D$15="нет",7,10)</f>
        <v>259.27500000000003</v>
      </c>
      <c r="E28" s="1431" t="str">
        <f t="shared" si="4"/>
        <v/>
      </c>
      <c r="F28" s="1364" t="str">
        <f t="shared" si="5"/>
        <v/>
      </c>
      <c r="G28" s="1364" t="str">
        <f t="shared" si="6"/>
        <v/>
      </c>
      <c r="H28" s="1364" t="str">
        <f t="shared" si="7"/>
        <v/>
      </c>
      <c r="I28" s="1364" t="str">
        <f t="shared" si="8"/>
        <v/>
      </c>
      <c r="J28" s="1364">
        <f t="shared" si="9"/>
        <v>259.27500000000003</v>
      </c>
      <c r="K28" s="1364" t="str">
        <f t="shared" si="10"/>
        <v/>
      </c>
      <c r="L28" s="1364" t="str">
        <f t="shared" si="11"/>
        <v/>
      </c>
      <c r="M28" s="1364" t="str">
        <f t="shared" si="12"/>
        <v/>
      </c>
      <c r="N28" s="13">
        <f t="shared" si="16"/>
        <v>1.9823257080610023E-2</v>
      </c>
      <c r="O28" s="13">
        <f t="shared" si="16"/>
        <v>138.46648284313724</v>
      </c>
      <c r="P28" s="13">
        <f t="shared" si="16"/>
        <v>272.20242034313725</v>
      </c>
      <c r="Q28" s="13">
        <f t="shared" si="16"/>
        <v>7.929302832244009E-3</v>
      </c>
      <c r="R28" s="13">
        <f t="shared" si="16"/>
        <v>55.386593137254899</v>
      </c>
      <c r="S28" s="13">
        <f t="shared" si="16"/>
        <v>114.88096813725491</v>
      </c>
      <c r="U28" s="13">
        <f t="shared" si="1"/>
        <v>3.4169742898780886E-2</v>
      </c>
      <c r="V28" s="13" t="str">
        <f t="shared" si="2"/>
        <v/>
      </c>
      <c r="W28" s="13" t="str">
        <f t="shared" si="15"/>
        <v/>
      </c>
    </row>
    <row r="29" spans="1:23" x14ac:dyDescent="0.25">
      <c r="A29" s="1363">
        <v>0.25</v>
      </c>
      <c r="B29" s="13">
        <f t="shared" si="3"/>
        <v>3.5000000000000003E-2</v>
      </c>
      <c r="C29" s="1364">
        <f t="shared" si="0"/>
        <v>55.8</v>
      </c>
      <c r="D29" s="1431">
        <f>B29*'Рейтинг МКД'!$D$11+'кривые-экспресс'!C29+IF('Рейтинг МКД'!$D$15="нет",7,10)</f>
        <v>266.61250000000001</v>
      </c>
      <c r="E29" s="1431" t="str">
        <f t="shared" si="4"/>
        <v/>
      </c>
      <c r="F29" s="1364" t="str">
        <f t="shared" si="5"/>
        <v/>
      </c>
      <c r="G29" s="1364" t="str">
        <f t="shared" si="6"/>
        <v/>
      </c>
      <c r="H29" s="1364" t="str">
        <f t="shared" si="7"/>
        <v/>
      </c>
      <c r="I29" s="1364" t="str">
        <f t="shared" si="8"/>
        <v/>
      </c>
      <c r="J29" s="1364" t="str">
        <f t="shared" si="9"/>
        <v/>
      </c>
      <c r="K29" s="1364">
        <f t="shared" si="10"/>
        <v>266.61250000000001</v>
      </c>
      <c r="L29" s="1364" t="str">
        <f t="shared" si="11"/>
        <v/>
      </c>
      <c r="M29" s="1364" t="str">
        <f t="shared" si="12"/>
        <v/>
      </c>
      <c r="N29" s="13">
        <f t="shared" si="16"/>
        <v>1.9823257080610023E-2</v>
      </c>
      <c r="O29" s="13">
        <f t="shared" si="16"/>
        <v>138.46648284313724</v>
      </c>
      <c r="P29" s="13">
        <f t="shared" si="16"/>
        <v>272.20242034313725</v>
      </c>
      <c r="Q29" s="13">
        <f t="shared" si="16"/>
        <v>7.929302832244009E-3</v>
      </c>
      <c r="R29" s="13">
        <f t="shared" si="16"/>
        <v>55.386593137254899</v>
      </c>
      <c r="S29" s="13">
        <f t="shared" si="16"/>
        <v>114.88096813725491</v>
      </c>
      <c r="U29" s="13" t="str">
        <f t="shared" si="1"/>
        <v/>
      </c>
      <c r="V29" s="13" t="str">
        <f t="shared" si="2"/>
        <v/>
      </c>
      <c r="W29" s="13" t="str">
        <f t="shared" si="15"/>
        <v/>
      </c>
    </row>
    <row r="30" spans="1:23" x14ac:dyDescent="0.25">
      <c r="A30" s="1363">
        <v>0.26</v>
      </c>
      <c r="B30" s="13">
        <f t="shared" si="3"/>
        <v>3.5000000000000003E-2</v>
      </c>
      <c r="C30" s="1364">
        <f t="shared" si="0"/>
        <v>55.8</v>
      </c>
      <c r="D30" s="1431">
        <f>B30*'Рейтинг МКД'!$D$11+'кривые-экспресс'!C30+IF('Рейтинг МКД'!$D$15="нет",7,10)</f>
        <v>266.61250000000001</v>
      </c>
      <c r="E30" s="1431" t="str">
        <f t="shared" si="4"/>
        <v/>
      </c>
      <c r="F30" s="1364" t="str">
        <f t="shared" si="5"/>
        <v/>
      </c>
      <c r="G30" s="1364" t="str">
        <f t="shared" si="6"/>
        <v/>
      </c>
      <c r="H30" s="1364" t="str">
        <f t="shared" si="7"/>
        <v/>
      </c>
      <c r="I30" s="1364" t="str">
        <f t="shared" si="8"/>
        <v/>
      </c>
      <c r="J30" s="1364" t="str">
        <f t="shared" si="9"/>
        <v/>
      </c>
      <c r="K30" s="1364">
        <f t="shared" si="10"/>
        <v>266.61250000000001</v>
      </c>
      <c r="L30" s="1364" t="str">
        <f t="shared" si="11"/>
        <v/>
      </c>
      <c r="M30" s="1364" t="str">
        <f t="shared" si="12"/>
        <v/>
      </c>
      <c r="N30" s="13">
        <f t="shared" si="16"/>
        <v>1.9823257080610023E-2</v>
      </c>
      <c r="O30" s="13">
        <f t="shared" si="16"/>
        <v>138.46648284313724</v>
      </c>
      <c r="P30" s="13">
        <f t="shared" si="16"/>
        <v>272.20242034313725</v>
      </c>
      <c r="Q30" s="13">
        <f t="shared" si="16"/>
        <v>7.929302832244009E-3</v>
      </c>
      <c r="R30" s="13">
        <f t="shared" si="16"/>
        <v>55.386593137254899</v>
      </c>
      <c r="S30" s="13">
        <f t="shared" si="16"/>
        <v>114.88096813725491</v>
      </c>
      <c r="U30" s="13" t="str">
        <f t="shared" si="1"/>
        <v/>
      </c>
      <c r="V30" s="13" t="str">
        <f t="shared" si="2"/>
        <v/>
      </c>
      <c r="W30" s="13" t="str">
        <f t="shared" si="15"/>
        <v/>
      </c>
    </row>
    <row r="31" spans="1:23" x14ac:dyDescent="0.25">
      <c r="A31" s="1363">
        <v>0.27</v>
      </c>
      <c r="B31" s="13">
        <f t="shared" si="3"/>
        <v>3.5999999999999997E-2</v>
      </c>
      <c r="C31" s="1364">
        <f t="shared" si="0"/>
        <v>57.5</v>
      </c>
      <c r="D31" s="1431">
        <f>B31*'Рейтинг МКД'!$D$11+'кривые-экспресс'!C31+IF('Рейтинг МКД'!$D$15="нет",7,10)</f>
        <v>274.04999999999995</v>
      </c>
      <c r="E31" s="1431" t="str">
        <f t="shared" si="4"/>
        <v/>
      </c>
      <c r="F31" s="1364" t="str">
        <f t="shared" si="5"/>
        <v/>
      </c>
      <c r="G31" s="1364" t="str">
        <f t="shared" si="6"/>
        <v/>
      </c>
      <c r="H31" s="1364" t="str">
        <f t="shared" si="7"/>
        <v/>
      </c>
      <c r="I31" s="1364" t="str">
        <f t="shared" si="8"/>
        <v/>
      </c>
      <c r="J31" s="1364" t="str">
        <f t="shared" si="9"/>
        <v/>
      </c>
      <c r="K31" s="1364">
        <f t="shared" si="10"/>
        <v>274.04999999999995</v>
      </c>
      <c r="L31" s="1364" t="str">
        <f t="shared" si="11"/>
        <v/>
      </c>
      <c r="M31" s="1364" t="str">
        <f t="shared" si="12"/>
        <v/>
      </c>
      <c r="N31" s="13">
        <f t="shared" si="16"/>
        <v>1.9823257080610023E-2</v>
      </c>
      <c r="O31" s="13">
        <f t="shared" si="16"/>
        <v>138.46648284313724</v>
      </c>
      <c r="P31" s="13">
        <f t="shared" si="16"/>
        <v>272.20242034313725</v>
      </c>
      <c r="Q31" s="13">
        <f t="shared" si="16"/>
        <v>7.929302832244009E-3</v>
      </c>
      <c r="R31" s="13">
        <f t="shared" si="16"/>
        <v>55.386593137254899</v>
      </c>
      <c r="S31" s="13">
        <f t="shared" si="16"/>
        <v>114.88096813725491</v>
      </c>
      <c r="U31" s="13" t="str">
        <f t="shared" si="1"/>
        <v/>
      </c>
      <c r="V31" s="13" t="str">
        <f t="shared" si="2"/>
        <v/>
      </c>
      <c r="W31" s="13" t="str">
        <f t="shared" si="15"/>
        <v/>
      </c>
    </row>
    <row r="32" spans="1:23" x14ac:dyDescent="0.25">
      <c r="A32" s="1363">
        <v>0.28000000000000003</v>
      </c>
      <c r="B32" s="13">
        <f t="shared" si="3"/>
        <v>3.5999999999999997E-2</v>
      </c>
      <c r="C32" s="1364">
        <f t="shared" si="0"/>
        <v>57.5</v>
      </c>
      <c r="D32" s="1431">
        <f>B32*'Рейтинг МКД'!$D$11+'кривые-экспресс'!C32+IF('Рейтинг МКД'!$D$15="нет",7,10)</f>
        <v>274.04999999999995</v>
      </c>
      <c r="E32" s="1431" t="str">
        <f t="shared" si="4"/>
        <v/>
      </c>
      <c r="F32" s="1364" t="str">
        <f t="shared" si="5"/>
        <v/>
      </c>
      <c r="G32" s="1364" t="str">
        <f t="shared" si="6"/>
        <v/>
      </c>
      <c r="H32" s="1364" t="str">
        <f t="shared" si="7"/>
        <v/>
      </c>
      <c r="I32" s="1364" t="str">
        <f t="shared" si="8"/>
        <v/>
      </c>
      <c r="J32" s="1364" t="str">
        <f t="shared" si="9"/>
        <v/>
      </c>
      <c r="K32" s="1364">
        <f t="shared" si="10"/>
        <v>274.04999999999995</v>
      </c>
      <c r="L32" s="1364" t="str">
        <f t="shared" si="11"/>
        <v/>
      </c>
      <c r="M32" s="1364" t="str">
        <f t="shared" si="12"/>
        <v/>
      </c>
      <c r="N32" s="13">
        <f t="shared" si="16"/>
        <v>1.9823257080610023E-2</v>
      </c>
      <c r="O32" s="13">
        <f t="shared" si="16"/>
        <v>138.46648284313724</v>
      </c>
      <c r="P32" s="13">
        <f t="shared" si="16"/>
        <v>272.20242034313725</v>
      </c>
      <c r="Q32" s="13">
        <f t="shared" si="16"/>
        <v>7.929302832244009E-3</v>
      </c>
      <c r="R32" s="13">
        <f t="shared" si="16"/>
        <v>55.386593137254899</v>
      </c>
      <c r="S32" s="13">
        <f t="shared" si="16"/>
        <v>114.88096813725491</v>
      </c>
      <c r="U32" s="13" t="str">
        <f t="shared" si="1"/>
        <v/>
      </c>
      <c r="V32" s="13" t="str">
        <f t="shared" si="2"/>
        <v/>
      </c>
      <c r="W32" s="13" t="str">
        <f t="shared" si="15"/>
        <v/>
      </c>
    </row>
    <row r="33" spans="1:23" x14ac:dyDescent="0.25">
      <c r="A33" s="1363">
        <v>0.28999999999999998</v>
      </c>
      <c r="B33" s="13">
        <f t="shared" si="3"/>
        <v>3.6999999999999998E-2</v>
      </c>
      <c r="C33" s="1364">
        <f t="shared" si="0"/>
        <v>58.8</v>
      </c>
      <c r="D33" s="1431">
        <f>B33*'Рейтинг МКД'!$D$11+'кривые-экспресс'!C33+IF('Рейтинг МКД'!$D$15="нет",7,10)</f>
        <v>281.08749999999998</v>
      </c>
      <c r="E33" s="1431" t="str">
        <f t="shared" si="4"/>
        <v/>
      </c>
      <c r="F33" s="1364" t="str">
        <f t="shared" si="5"/>
        <v/>
      </c>
      <c r="G33" s="1364" t="str">
        <f t="shared" si="6"/>
        <v/>
      </c>
      <c r="H33" s="1364" t="str">
        <f t="shared" si="7"/>
        <v/>
      </c>
      <c r="I33" s="1364" t="str">
        <f t="shared" si="8"/>
        <v/>
      </c>
      <c r="J33" s="1364" t="str">
        <f t="shared" si="9"/>
        <v/>
      </c>
      <c r="K33" s="1364">
        <f t="shared" si="10"/>
        <v>281.08749999999998</v>
      </c>
      <c r="L33" s="1364" t="str">
        <f t="shared" si="11"/>
        <v/>
      </c>
      <c r="M33" s="1364" t="str">
        <f t="shared" si="12"/>
        <v/>
      </c>
      <c r="N33" s="13">
        <f t="shared" si="16"/>
        <v>1.9823257080610023E-2</v>
      </c>
      <c r="O33" s="13">
        <f t="shared" si="16"/>
        <v>138.46648284313724</v>
      </c>
      <c r="P33" s="13">
        <f t="shared" si="16"/>
        <v>272.20242034313725</v>
      </c>
      <c r="Q33" s="13">
        <f t="shared" si="16"/>
        <v>7.929302832244009E-3</v>
      </c>
      <c r="R33" s="13">
        <f t="shared" si="16"/>
        <v>55.386593137254899</v>
      </c>
      <c r="S33" s="13">
        <f t="shared" si="16"/>
        <v>114.88096813725491</v>
      </c>
      <c r="U33" s="13" t="str">
        <f t="shared" si="1"/>
        <v/>
      </c>
      <c r="V33" s="13" t="str">
        <f t="shared" si="2"/>
        <v/>
      </c>
      <c r="W33" s="13" t="str">
        <f t="shared" si="15"/>
        <v/>
      </c>
    </row>
    <row r="34" spans="1:23" x14ac:dyDescent="0.25">
      <c r="A34" s="1363">
        <v>0.3</v>
      </c>
      <c r="B34" s="13">
        <f t="shared" si="3"/>
        <v>3.6999999999999998E-2</v>
      </c>
      <c r="C34" s="1364">
        <f t="shared" si="0"/>
        <v>58.8</v>
      </c>
      <c r="D34" s="1431">
        <f>B34*'Рейтинг МКД'!$D$11+'кривые-экспресс'!C34+IF('Рейтинг МКД'!$D$15="нет",7,10)</f>
        <v>281.08749999999998</v>
      </c>
      <c r="E34" s="1431" t="str">
        <f t="shared" si="4"/>
        <v/>
      </c>
      <c r="F34" s="1364" t="str">
        <f t="shared" si="5"/>
        <v/>
      </c>
      <c r="G34" s="1364" t="str">
        <f t="shared" si="6"/>
        <v/>
      </c>
      <c r="H34" s="1364" t="str">
        <f t="shared" si="7"/>
        <v/>
      </c>
      <c r="I34" s="1364" t="str">
        <f t="shared" si="8"/>
        <v/>
      </c>
      <c r="J34" s="1364" t="str">
        <f t="shared" si="9"/>
        <v/>
      </c>
      <c r="K34" s="1364">
        <f t="shared" si="10"/>
        <v>281.08749999999998</v>
      </c>
      <c r="L34" s="1364" t="str">
        <f t="shared" si="11"/>
        <v/>
      </c>
      <c r="M34" s="1364" t="str">
        <f t="shared" si="12"/>
        <v/>
      </c>
      <c r="N34" s="13">
        <f t="shared" si="16"/>
        <v>1.9823257080610023E-2</v>
      </c>
      <c r="O34" s="13">
        <f t="shared" si="16"/>
        <v>138.46648284313724</v>
      </c>
      <c r="P34" s="13">
        <f t="shared" si="16"/>
        <v>272.20242034313725</v>
      </c>
      <c r="Q34" s="13">
        <f t="shared" si="16"/>
        <v>7.929302832244009E-3</v>
      </c>
      <c r="R34" s="13">
        <f t="shared" si="16"/>
        <v>55.386593137254899</v>
      </c>
      <c r="S34" s="13">
        <f t="shared" si="16"/>
        <v>114.88096813725491</v>
      </c>
      <c r="U34" s="13" t="str">
        <f t="shared" si="1"/>
        <v/>
      </c>
      <c r="V34" s="13" t="str">
        <f t="shared" si="2"/>
        <v/>
      </c>
      <c r="W34" s="13" t="str">
        <f t="shared" si="15"/>
        <v/>
      </c>
    </row>
    <row r="35" spans="1:23" x14ac:dyDescent="0.25">
      <c r="A35" s="1363">
        <v>0.31</v>
      </c>
      <c r="B35" s="13">
        <f t="shared" si="3"/>
        <v>3.6999999999999998E-2</v>
      </c>
      <c r="C35" s="1364">
        <f t="shared" si="0"/>
        <v>60.2</v>
      </c>
      <c r="D35" s="1431">
        <f>B35*'Рейтинг МКД'!$D$11+'кривые-экспресс'!C35+IF('Рейтинг МКД'!$D$15="нет",7,10)</f>
        <v>282.48750000000001</v>
      </c>
      <c r="E35" s="1431" t="str">
        <f t="shared" si="4"/>
        <v/>
      </c>
      <c r="F35" s="1364" t="str">
        <f t="shared" si="5"/>
        <v/>
      </c>
      <c r="G35" s="1364" t="str">
        <f t="shared" si="6"/>
        <v/>
      </c>
      <c r="H35" s="1364" t="str">
        <f t="shared" si="7"/>
        <v/>
      </c>
      <c r="I35" s="1364" t="str">
        <f t="shared" si="8"/>
        <v/>
      </c>
      <c r="J35" s="1364" t="str">
        <f t="shared" si="9"/>
        <v/>
      </c>
      <c r="K35" s="1364">
        <f t="shared" si="10"/>
        <v>282.48750000000001</v>
      </c>
      <c r="L35" s="1364" t="str">
        <f t="shared" si="11"/>
        <v/>
      </c>
      <c r="M35" s="1364" t="str">
        <f t="shared" si="12"/>
        <v/>
      </c>
      <c r="N35" s="13">
        <f t="shared" si="16"/>
        <v>1.9823257080610023E-2</v>
      </c>
      <c r="O35" s="13">
        <f t="shared" si="16"/>
        <v>138.46648284313724</v>
      </c>
      <c r="P35" s="13">
        <f t="shared" si="16"/>
        <v>272.20242034313725</v>
      </c>
      <c r="Q35" s="13">
        <f t="shared" si="16"/>
        <v>7.929302832244009E-3</v>
      </c>
      <c r="R35" s="13">
        <f t="shared" si="16"/>
        <v>55.386593137254899</v>
      </c>
      <c r="S35" s="13">
        <f t="shared" si="16"/>
        <v>114.88096813725491</v>
      </c>
      <c r="U35" s="13" t="str">
        <f t="shared" si="1"/>
        <v/>
      </c>
      <c r="V35" s="13" t="str">
        <f t="shared" si="2"/>
        <v/>
      </c>
      <c r="W35" s="13" t="str">
        <f t="shared" si="15"/>
        <v/>
      </c>
    </row>
    <row r="36" spans="1:23" x14ac:dyDescent="0.25">
      <c r="A36" s="1363">
        <v>0.32</v>
      </c>
      <c r="B36" s="13">
        <f t="shared" si="3"/>
        <v>3.6999999999999998E-2</v>
      </c>
      <c r="C36" s="1364">
        <f t="shared" si="0"/>
        <v>60.2</v>
      </c>
      <c r="D36" s="1431">
        <f>B36*'Рейтинг МКД'!$D$11+'кривые-экспресс'!C36+IF('Рейтинг МКД'!$D$15="нет",7,10)</f>
        <v>282.48750000000001</v>
      </c>
      <c r="E36" s="1431" t="str">
        <f t="shared" si="4"/>
        <v/>
      </c>
      <c r="F36" s="1364" t="str">
        <f t="shared" si="5"/>
        <v/>
      </c>
      <c r="G36" s="1364" t="str">
        <f t="shared" si="6"/>
        <v/>
      </c>
      <c r="H36" s="1364" t="str">
        <f t="shared" si="7"/>
        <v/>
      </c>
      <c r="I36" s="1364" t="str">
        <f t="shared" si="8"/>
        <v/>
      </c>
      <c r="J36" s="1364" t="str">
        <f t="shared" si="9"/>
        <v/>
      </c>
      <c r="K36" s="1364">
        <f t="shared" si="10"/>
        <v>282.48750000000001</v>
      </c>
      <c r="L36" s="1364" t="str">
        <f t="shared" si="11"/>
        <v/>
      </c>
      <c r="M36" s="1364" t="str">
        <f t="shared" si="12"/>
        <v/>
      </c>
      <c r="N36" s="13">
        <f t="shared" si="16"/>
        <v>1.9823257080610023E-2</v>
      </c>
      <c r="O36" s="13">
        <f t="shared" si="16"/>
        <v>138.46648284313724</v>
      </c>
      <c r="P36" s="13">
        <f t="shared" si="16"/>
        <v>272.20242034313725</v>
      </c>
      <c r="Q36" s="13">
        <f t="shared" si="16"/>
        <v>7.929302832244009E-3</v>
      </c>
      <c r="R36" s="13">
        <f t="shared" si="16"/>
        <v>55.386593137254899</v>
      </c>
      <c r="S36" s="13">
        <f t="shared" si="16"/>
        <v>114.88096813725491</v>
      </c>
      <c r="U36" s="13" t="str">
        <f t="shared" si="1"/>
        <v/>
      </c>
      <c r="V36" s="13" t="str">
        <f t="shared" si="2"/>
        <v/>
      </c>
      <c r="W36" s="13" t="str">
        <f t="shared" si="15"/>
        <v/>
      </c>
    </row>
    <row r="37" spans="1:23" x14ac:dyDescent="0.25">
      <c r="A37" s="1363">
        <v>0.33</v>
      </c>
      <c r="B37" s="13">
        <f t="shared" si="3"/>
        <v>3.7999999999999999E-2</v>
      </c>
      <c r="C37" s="1364">
        <f t="shared" ref="C37:C68" si="17">$B$106*B245+$C$106*C245+$D$106*D245+$E$106*E245+$F$106*F245+$G$106*G245+$H$106*H245+$I$106*I245+$J$106*J245+$K$106*K245+$L$106*L245+$M$106*M245</f>
        <v>62.2</v>
      </c>
      <c r="D37" s="1431">
        <f>B37*'Рейтинг МКД'!$D$11+'кривые-экспресс'!C37+IF('Рейтинг МКД'!$D$15="нет",7,10)</f>
        <v>290.22500000000002</v>
      </c>
      <c r="E37" s="1431" t="str">
        <f t="shared" si="4"/>
        <v/>
      </c>
      <c r="F37" s="1364" t="str">
        <f t="shared" si="5"/>
        <v/>
      </c>
      <c r="G37" s="1364" t="str">
        <f t="shared" si="6"/>
        <v/>
      </c>
      <c r="H37" s="1364" t="str">
        <f t="shared" si="7"/>
        <v/>
      </c>
      <c r="I37" s="1364" t="str">
        <f t="shared" si="8"/>
        <v/>
      </c>
      <c r="J37" s="1364" t="str">
        <f t="shared" si="9"/>
        <v/>
      </c>
      <c r="K37" s="1364">
        <f t="shared" si="10"/>
        <v>290.22500000000002</v>
      </c>
      <c r="L37" s="1364" t="str">
        <f t="shared" si="11"/>
        <v/>
      </c>
      <c r="M37" s="1364" t="str">
        <f t="shared" si="12"/>
        <v/>
      </c>
      <c r="N37" s="13">
        <f t="shared" si="16"/>
        <v>1.9823257080610023E-2</v>
      </c>
      <c r="O37" s="13">
        <f t="shared" si="16"/>
        <v>138.46648284313724</v>
      </c>
      <c r="P37" s="13">
        <f t="shared" si="16"/>
        <v>272.20242034313725</v>
      </c>
      <c r="Q37" s="13">
        <f t="shared" si="16"/>
        <v>7.929302832244009E-3</v>
      </c>
      <c r="R37" s="13">
        <f t="shared" si="16"/>
        <v>55.386593137254899</v>
      </c>
      <c r="S37" s="13">
        <f t="shared" si="16"/>
        <v>114.88096813725491</v>
      </c>
      <c r="U37" s="13" t="str">
        <f t="shared" ref="U37:U68" si="18">IF(AND($U$3&gt;=B37,$U$3&lt;B38),$U$3,"")</f>
        <v/>
      </c>
      <c r="V37" s="13" t="str">
        <f t="shared" ref="V37:V68" si="19">IF(AND($V$3&gt;=C37,$V$3&lt;C38),$V$3,"")</f>
        <v/>
      </c>
      <c r="W37" s="13" t="str">
        <f t="shared" si="15"/>
        <v/>
      </c>
    </row>
    <row r="38" spans="1:23" x14ac:dyDescent="0.25">
      <c r="A38" s="1363">
        <v>0.34</v>
      </c>
      <c r="B38" s="13">
        <f t="shared" si="3"/>
        <v>3.7999999999999999E-2</v>
      </c>
      <c r="C38" s="1364">
        <f t="shared" si="17"/>
        <v>62.2</v>
      </c>
      <c r="D38" s="1431">
        <f>B38*'Рейтинг МКД'!$D$11+'кривые-экспресс'!C38+IF('Рейтинг МКД'!$D$15="нет",7,10)</f>
        <v>290.22500000000002</v>
      </c>
      <c r="E38" s="1431" t="str">
        <f t="shared" si="4"/>
        <v/>
      </c>
      <c r="F38" s="1364" t="str">
        <f t="shared" si="5"/>
        <v/>
      </c>
      <c r="G38" s="1364" t="str">
        <f t="shared" si="6"/>
        <v/>
      </c>
      <c r="H38" s="1364" t="str">
        <f t="shared" si="7"/>
        <v/>
      </c>
      <c r="I38" s="1364" t="str">
        <f t="shared" si="8"/>
        <v/>
      </c>
      <c r="J38" s="1364" t="str">
        <f t="shared" si="9"/>
        <v/>
      </c>
      <c r="K38" s="1364">
        <f t="shared" si="10"/>
        <v>290.22500000000002</v>
      </c>
      <c r="L38" s="1364" t="str">
        <f t="shared" si="11"/>
        <v/>
      </c>
      <c r="M38" s="1364" t="str">
        <f t="shared" si="12"/>
        <v/>
      </c>
      <c r="N38" s="13">
        <f t="shared" si="16"/>
        <v>1.9823257080610023E-2</v>
      </c>
      <c r="O38" s="13">
        <f t="shared" si="16"/>
        <v>138.46648284313724</v>
      </c>
      <c r="P38" s="13">
        <f t="shared" si="16"/>
        <v>272.20242034313725</v>
      </c>
      <c r="Q38" s="13">
        <f t="shared" si="16"/>
        <v>7.929302832244009E-3</v>
      </c>
      <c r="R38" s="13">
        <f t="shared" si="16"/>
        <v>55.386593137254899</v>
      </c>
      <c r="S38" s="13">
        <f t="shared" si="16"/>
        <v>114.88096813725491</v>
      </c>
      <c r="U38" s="13" t="str">
        <f t="shared" si="18"/>
        <v/>
      </c>
      <c r="V38" s="13" t="str">
        <f t="shared" si="19"/>
        <v/>
      </c>
      <c r="W38" s="13">
        <f t="shared" si="15"/>
        <v>295.10833078883383</v>
      </c>
    </row>
    <row r="39" spans="1:23" x14ac:dyDescent="0.25">
      <c r="A39" s="1363">
        <v>0.35</v>
      </c>
      <c r="B39" s="13">
        <f t="shared" si="3"/>
        <v>3.9E-2</v>
      </c>
      <c r="C39" s="1364">
        <f t="shared" si="17"/>
        <v>63.5</v>
      </c>
      <c r="D39" s="1431">
        <f>B39*'Рейтинг МКД'!$D$11+'кривые-экспресс'!C39+IF('Рейтинг МКД'!$D$15="нет",7,10)</f>
        <v>297.26249999999999</v>
      </c>
      <c r="E39" s="1431" t="str">
        <f t="shared" si="4"/>
        <v/>
      </c>
      <c r="F39" s="1364" t="str">
        <f t="shared" si="5"/>
        <v/>
      </c>
      <c r="G39" s="1364" t="str">
        <f t="shared" si="6"/>
        <v/>
      </c>
      <c r="H39" s="1364" t="str">
        <f t="shared" si="7"/>
        <v/>
      </c>
      <c r="I39" s="1364" t="str">
        <f t="shared" si="8"/>
        <v/>
      </c>
      <c r="J39" s="1364" t="str">
        <f t="shared" si="9"/>
        <v/>
      </c>
      <c r="K39" s="1364">
        <f t="shared" si="10"/>
        <v>297.26249999999999</v>
      </c>
      <c r="L39" s="1364" t="str">
        <f t="shared" si="11"/>
        <v/>
      </c>
      <c r="M39" s="1364" t="str">
        <f t="shared" si="12"/>
        <v/>
      </c>
      <c r="N39" s="13">
        <f t="shared" ref="N39:S54" si="20">N38</f>
        <v>1.9823257080610023E-2</v>
      </c>
      <c r="O39" s="13">
        <f t="shared" si="20"/>
        <v>138.46648284313724</v>
      </c>
      <c r="P39" s="13">
        <f t="shared" si="20"/>
        <v>272.20242034313725</v>
      </c>
      <c r="Q39" s="13">
        <f t="shared" si="20"/>
        <v>7.929302832244009E-3</v>
      </c>
      <c r="R39" s="13">
        <f t="shared" si="20"/>
        <v>55.386593137254899</v>
      </c>
      <c r="S39" s="13">
        <f t="shared" si="20"/>
        <v>114.88096813725491</v>
      </c>
      <c r="U39" s="13" t="str">
        <f t="shared" si="18"/>
        <v/>
      </c>
      <c r="V39" s="13" t="str">
        <f t="shared" si="19"/>
        <v/>
      </c>
      <c r="W39" s="13" t="str">
        <f t="shared" si="15"/>
        <v/>
      </c>
    </row>
    <row r="40" spans="1:23" x14ac:dyDescent="0.25">
      <c r="A40" s="1363">
        <v>0.36</v>
      </c>
      <c r="B40" s="13">
        <f t="shared" si="3"/>
        <v>3.9E-2</v>
      </c>
      <c r="C40" s="1364">
        <f t="shared" si="17"/>
        <v>63.5</v>
      </c>
      <c r="D40" s="1431">
        <f>B40*'Рейтинг МКД'!$D$11+'кривые-экспресс'!C40+IF('Рейтинг МКД'!$D$15="нет",7,10)</f>
        <v>297.26249999999999</v>
      </c>
      <c r="E40" s="1431" t="str">
        <f t="shared" si="4"/>
        <v/>
      </c>
      <c r="F40" s="1364" t="str">
        <f t="shared" si="5"/>
        <v/>
      </c>
      <c r="G40" s="1364" t="str">
        <f t="shared" si="6"/>
        <v/>
      </c>
      <c r="H40" s="1364" t="str">
        <f t="shared" si="7"/>
        <v/>
      </c>
      <c r="I40" s="1364" t="str">
        <f t="shared" si="8"/>
        <v/>
      </c>
      <c r="J40" s="1364" t="str">
        <f t="shared" si="9"/>
        <v/>
      </c>
      <c r="K40" s="1364">
        <f t="shared" si="10"/>
        <v>297.26249999999999</v>
      </c>
      <c r="L40" s="1364" t="str">
        <f t="shared" si="11"/>
        <v/>
      </c>
      <c r="M40" s="1364" t="str">
        <f t="shared" si="12"/>
        <v/>
      </c>
      <c r="N40" s="13">
        <f t="shared" si="20"/>
        <v>1.9823257080610023E-2</v>
      </c>
      <c r="O40" s="13">
        <f t="shared" si="20"/>
        <v>138.46648284313724</v>
      </c>
      <c r="P40" s="13">
        <f t="shared" si="20"/>
        <v>272.20242034313725</v>
      </c>
      <c r="Q40" s="13">
        <f t="shared" si="20"/>
        <v>7.929302832244009E-3</v>
      </c>
      <c r="R40" s="13">
        <f t="shared" si="20"/>
        <v>55.386593137254899</v>
      </c>
      <c r="S40" s="13">
        <f t="shared" si="20"/>
        <v>114.88096813725491</v>
      </c>
      <c r="U40" s="13" t="str">
        <f t="shared" si="18"/>
        <v/>
      </c>
      <c r="V40" s="13" t="str">
        <f t="shared" si="19"/>
        <v/>
      </c>
      <c r="W40" s="13" t="str">
        <f t="shared" si="15"/>
        <v/>
      </c>
    </row>
    <row r="41" spans="1:23" x14ac:dyDescent="0.25">
      <c r="A41" s="1363">
        <v>0.37</v>
      </c>
      <c r="B41" s="13">
        <f t="shared" si="3"/>
        <v>3.9E-2</v>
      </c>
      <c r="C41" s="1364">
        <f t="shared" si="17"/>
        <v>65.5</v>
      </c>
      <c r="D41" s="1431">
        <f>B41*'Рейтинг МКД'!$D$11+'кривые-экспресс'!C41+IF('Рейтинг МКД'!$D$15="нет",7,10)</f>
        <v>299.26249999999999</v>
      </c>
      <c r="E41" s="1431" t="str">
        <f t="shared" si="4"/>
        <v/>
      </c>
      <c r="F41" s="1364" t="str">
        <f t="shared" si="5"/>
        <v/>
      </c>
      <c r="G41" s="1364" t="str">
        <f t="shared" si="6"/>
        <v/>
      </c>
      <c r="H41" s="1364" t="str">
        <f t="shared" si="7"/>
        <v/>
      </c>
      <c r="I41" s="1364" t="str">
        <f t="shared" si="8"/>
        <v/>
      </c>
      <c r="J41" s="1364" t="str">
        <f t="shared" si="9"/>
        <v/>
      </c>
      <c r="K41" s="1364">
        <f t="shared" si="10"/>
        <v>299.26249999999999</v>
      </c>
      <c r="L41" s="1364" t="str">
        <f t="shared" si="11"/>
        <v/>
      </c>
      <c r="M41" s="1364" t="str">
        <f t="shared" si="12"/>
        <v/>
      </c>
      <c r="N41" s="13">
        <f t="shared" si="20"/>
        <v>1.9823257080610023E-2</v>
      </c>
      <c r="O41" s="13">
        <f t="shared" si="20"/>
        <v>138.46648284313724</v>
      </c>
      <c r="P41" s="13">
        <f t="shared" si="20"/>
        <v>272.20242034313725</v>
      </c>
      <c r="Q41" s="13">
        <f t="shared" si="20"/>
        <v>7.929302832244009E-3</v>
      </c>
      <c r="R41" s="13">
        <f t="shared" si="20"/>
        <v>55.386593137254899</v>
      </c>
      <c r="S41" s="13">
        <f t="shared" si="20"/>
        <v>114.88096813725491</v>
      </c>
      <c r="U41" s="13" t="str">
        <f t="shared" si="18"/>
        <v/>
      </c>
      <c r="V41" s="13" t="str">
        <f t="shared" si="19"/>
        <v/>
      </c>
      <c r="W41" s="13" t="str">
        <f t="shared" si="15"/>
        <v/>
      </c>
    </row>
    <row r="42" spans="1:23" x14ac:dyDescent="0.25">
      <c r="A42" s="1363">
        <v>0.38</v>
      </c>
      <c r="B42" s="13">
        <f t="shared" si="3"/>
        <v>3.9E-2</v>
      </c>
      <c r="C42" s="1364">
        <f t="shared" si="17"/>
        <v>65.5</v>
      </c>
      <c r="D42" s="1431">
        <f>B42*'Рейтинг МКД'!$D$11+'кривые-экспресс'!C42+IF('Рейтинг МКД'!$D$15="нет",7,10)</f>
        <v>299.26249999999999</v>
      </c>
      <c r="E42" s="1431" t="str">
        <f t="shared" si="4"/>
        <v/>
      </c>
      <c r="F42" s="1364" t="str">
        <f t="shared" si="5"/>
        <v/>
      </c>
      <c r="G42" s="1364" t="str">
        <f t="shared" si="6"/>
        <v/>
      </c>
      <c r="H42" s="1364" t="str">
        <f t="shared" si="7"/>
        <v/>
      </c>
      <c r="I42" s="1364" t="str">
        <f t="shared" si="8"/>
        <v/>
      </c>
      <c r="J42" s="1364" t="str">
        <f t="shared" si="9"/>
        <v/>
      </c>
      <c r="K42" s="1364">
        <f t="shared" si="10"/>
        <v>299.26249999999999</v>
      </c>
      <c r="L42" s="1364" t="str">
        <f t="shared" si="11"/>
        <v/>
      </c>
      <c r="M42" s="1364" t="str">
        <f t="shared" si="12"/>
        <v/>
      </c>
      <c r="N42" s="13">
        <f t="shared" si="20"/>
        <v>1.9823257080610023E-2</v>
      </c>
      <c r="O42" s="13">
        <f t="shared" si="20"/>
        <v>138.46648284313724</v>
      </c>
      <c r="P42" s="13">
        <f t="shared" si="20"/>
        <v>272.20242034313725</v>
      </c>
      <c r="Q42" s="13">
        <f t="shared" si="20"/>
        <v>7.929302832244009E-3</v>
      </c>
      <c r="R42" s="13">
        <f t="shared" si="20"/>
        <v>55.386593137254899</v>
      </c>
      <c r="S42" s="13">
        <f t="shared" si="20"/>
        <v>114.88096813725491</v>
      </c>
      <c r="U42" s="13" t="str">
        <f t="shared" si="18"/>
        <v/>
      </c>
      <c r="V42" s="13" t="str">
        <f t="shared" si="19"/>
        <v/>
      </c>
      <c r="W42" s="13" t="str">
        <f t="shared" si="15"/>
        <v/>
      </c>
    </row>
    <row r="43" spans="1:23" x14ac:dyDescent="0.25">
      <c r="A43" s="1363">
        <v>0.39</v>
      </c>
      <c r="B43" s="13">
        <f t="shared" si="3"/>
        <v>0.04</v>
      </c>
      <c r="C43" s="1364">
        <f t="shared" si="17"/>
        <v>67.2</v>
      </c>
      <c r="D43" s="1431">
        <f>B43*'Рейтинг МКД'!$D$11+'кривые-экспресс'!C43+IF('Рейтинг МКД'!$D$15="нет",7,10)</f>
        <v>306.7</v>
      </c>
      <c r="E43" s="1431" t="str">
        <f t="shared" si="4"/>
        <v/>
      </c>
      <c r="F43" s="1364" t="str">
        <f t="shared" si="5"/>
        <v/>
      </c>
      <c r="G43" s="1364" t="str">
        <f t="shared" si="6"/>
        <v/>
      </c>
      <c r="H43" s="1364" t="str">
        <f t="shared" si="7"/>
        <v/>
      </c>
      <c r="I43" s="1364" t="str">
        <f t="shared" si="8"/>
        <v/>
      </c>
      <c r="J43" s="1364" t="str">
        <f t="shared" si="9"/>
        <v/>
      </c>
      <c r="K43" s="1364">
        <f t="shared" si="10"/>
        <v>306.7</v>
      </c>
      <c r="L43" s="1364" t="str">
        <f t="shared" si="11"/>
        <v/>
      </c>
      <c r="M43" s="1364" t="str">
        <f t="shared" si="12"/>
        <v/>
      </c>
      <c r="N43" s="13">
        <f t="shared" si="20"/>
        <v>1.9823257080610023E-2</v>
      </c>
      <c r="O43" s="13">
        <f t="shared" si="20"/>
        <v>138.46648284313724</v>
      </c>
      <c r="P43" s="13">
        <f t="shared" si="20"/>
        <v>272.20242034313725</v>
      </c>
      <c r="Q43" s="13">
        <f t="shared" si="20"/>
        <v>7.929302832244009E-3</v>
      </c>
      <c r="R43" s="13">
        <f t="shared" si="20"/>
        <v>55.386593137254899</v>
      </c>
      <c r="S43" s="13">
        <f t="shared" si="20"/>
        <v>114.88096813725491</v>
      </c>
      <c r="U43" s="13" t="str">
        <f t="shared" si="18"/>
        <v/>
      </c>
      <c r="V43" s="13" t="str">
        <f t="shared" si="19"/>
        <v/>
      </c>
      <c r="W43" s="13" t="str">
        <f t="shared" si="15"/>
        <v/>
      </c>
    </row>
    <row r="44" spans="1:23" x14ac:dyDescent="0.25">
      <c r="A44" s="1363">
        <v>0.4</v>
      </c>
      <c r="B44" s="13">
        <f t="shared" si="3"/>
        <v>0.04</v>
      </c>
      <c r="C44" s="1364">
        <f t="shared" si="17"/>
        <v>67.2</v>
      </c>
      <c r="D44" s="1431">
        <f>B44*'Рейтинг МКД'!$D$11+'кривые-экспресс'!C44+IF('Рейтинг МКД'!$D$15="нет",7,10)</f>
        <v>306.7</v>
      </c>
      <c r="E44" s="1431" t="str">
        <f t="shared" si="4"/>
        <v/>
      </c>
      <c r="F44" s="1364" t="str">
        <f t="shared" si="5"/>
        <v/>
      </c>
      <c r="G44" s="1364" t="str">
        <f t="shared" si="6"/>
        <v/>
      </c>
      <c r="H44" s="1364" t="str">
        <f t="shared" si="7"/>
        <v/>
      </c>
      <c r="I44" s="1364" t="str">
        <f t="shared" si="8"/>
        <v/>
      </c>
      <c r="J44" s="1364" t="str">
        <f t="shared" si="9"/>
        <v/>
      </c>
      <c r="K44" s="1364">
        <f t="shared" si="10"/>
        <v>306.7</v>
      </c>
      <c r="L44" s="1364" t="str">
        <f t="shared" si="11"/>
        <v/>
      </c>
      <c r="M44" s="1364" t="str">
        <f t="shared" si="12"/>
        <v/>
      </c>
      <c r="N44" s="13">
        <f t="shared" si="20"/>
        <v>1.9823257080610023E-2</v>
      </c>
      <c r="O44" s="13">
        <f t="shared" si="20"/>
        <v>138.46648284313724</v>
      </c>
      <c r="P44" s="13">
        <f t="shared" si="20"/>
        <v>272.20242034313725</v>
      </c>
      <c r="Q44" s="13">
        <f t="shared" si="20"/>
        <v>7.929302832244009E-3</v>
      </c>
      <c r="R44" s="13">
        <f t="shared" si="20"/>
        <v>55.386593137254899</v>
      </c>
      <c r="S44" s="13">
        <f t="shared" si="20"/>
        <v>114.88096813725491</v>
      </c>
      <c r="U44" s="13" t="str">
        <f t="shared" si="18"/>
        <v/>
      </c>
      <c r="V44" s="13" t="str">
        <f t="shared" si="19"/>
        <v/>
      </c>
      <c r="W44" s="13" t="str">
        <f t="shared" si="15"/>
        <v/>
      </c>
    </row>
    <row r="45" spans="1:23" x14ac:dyDescent="0.25">
      <c r="A45" s="1363">
        <v>0.41</v>
      </c>
      <c r="B45" s="13">
        <f t="shared" si="3"/>
        <v>4.1000000000000002E-2</v>
      </c>
      <c r="C45" s="1364">
        <f t="shared" si="17"/>
        <v>68.900000000000006</v>
      </c>
      <c r="D45" s="1431">
        <f>B45*'Рейтинг МКД'!$D$11+'кривые-экспресс'!C45+IF('Рейтинг МКД'!$D$15="нет",7,10)</f>
        <v>314.13750000000005</v>
      </c>
      <c r="E45" s="1431" t="str">
        <f t="shared" si="4"/>
        <v/>
      </c>
      <c r="F45" s="1364" t="str">
        <f t="shared" si="5"/>
        <v/>
      </c>
      <c r="G45" s="1364" t="str">
        <f t="shared" si="6"/>
        <v/>
      </c>
      <c r="H45" s="1364" t="str">
        <f t="shared" si="7"/>
        <v/>
      </c>
      <c r="I45" s="1364" t="str">
        <f t="shared" si="8"/>
        <v/>
      </c>
      <c r="J45" s="1364" t="str">
        <f t="shared" si="9"/>
        <v/>
      </c>
      <c r="K45" s="1364">
        <f t="shared" si="10"/>
        <v>314.13750000000005</v>
      </c>
      <c r="L45" s="1364" t="str">
        <f t="shared" si="11"/>
        <v/>
      </c>
      <c r="M45" s="1364" t="str">
        <f t="shared" si="12"/>
        <v/>
      </c>
      <c r="N45" s="13">
        <f t="shared" si="20"/>
        <v>1.9823257080610023E-2</v>
      </c>
      <c r="O45" s="13">
        <f t="shared" si="20"/>
        <v>138.46648284313724</v>
      </c>
      <c r="P45" s="13">
        <f t="shared" si="20"/>
        <v>272.20242034313725</v>
      </c>
      <c r="Q45" s="13">
        <f t="shared" si="20"/>
        <v>7.929302832244009E-3</v>
      </c>
      <c r="R45" s="13">
        <f t="shared" si="20"/>
        <v>55.386593137254899</v>
      </c>
      <c r="S45" s="13">
        <f t="shared" si="20"/>
        <v>114.88096813725491</v>
      </c>
      <c r="U45" s="13" t="str">
        <f t="shared" si="18"/>
        <v/>
      </c>
      <c r="V45" s="13" t="str">
        <f t="shared" si="19"/>
        <v/>
      </c>
      <c r="W45" s="13" t="str">
        <f t="shared" si="15"/>
        <v/>
      </c>
    </row>
    <row r="46" spans="1:23" x14ac:dyDescent="0.25">
      <c r="A46" s="1363">
        <v>0.42</v>
      </c>
      <c r="B46" s="13">
        <f t="shared" si="3"/>
        <v>4.1000000000000002E-2</v>
      </c>
      <c r="C46" s="1364">
        <f t="shared" si="17"/>
        <v>68.900000000000006</v>
      </c>
      <c r="D46" s="1431">
        <f>B46*'Рейтинг МКД'!$D$11+'кривые-экспресс'!C46+IF('Рейтинг МКД'!$D$15="нет",7,10)</f>
        <v>314.13750000000005</v>
      </c>
      <c r="E46" s="1431" t="str">
        <f t="shared" si="4"/>
        <v/>
      </c>
      <c r="F46" s="1364" t="str">
        <f t="shared" si="5"/>
        <v/>
      </c>
      <c r="G46" s="1364" t="str">
        <f t="shared" si="6"/>
        <v/>
      </c>
      <c r="H46" s="1364" t="str">
        <f t="shared" si="7"/>
        <v/>
      </c>
      <c r="I46" s="1364" t="str">
        <f t="shared" si="8"/>
        <v/>
      </c>
      <c r="J46" s="1364" t="str">
        <f t="shared" si="9"/>
        <v/>
      </c>
      <c r="K46" s="1364">
        <f t="shared" si="10"/>
        <v>314.13750000000005</v>
      </c>
      <c r="L46" s="1364" t="str">
        <f t="shared" si="11"/>
        <v/>
      </c>
      <c r="M46" s="1364" t="str">
        <f t="shared" si="12"/>
        <v/>
      </c>
      <c r="N46" s="13">
        <f t="shared" si="20"/>
        <v>1.9823257080610023E-2</v>
      </c>
      <c r="O46" s="13">
        <f t="shared" si="20"/>
        <v>138.46648284313724</v>
      </c>
      <c r="P46" s="13">
        <f t="shared" si="20"/>
        <v>272.20242034313725</v>
      </c>
      <c r="Q46" s="13">
        <f t="shared" si="20"/>
        <v>7.929302832244009E-3</v>
      </c>
      <c r="R46" s="13">
        <f t="shared" si="20"/>
        <v>55.386593137254899</v>
      </c>
      <c r="S46" s="13">
        <f t="shared" si="20"/>
        <v>114.88096813725491</v>
      </c>
      <c r="U46" s="13" t="str">
        <f t="shared" si="18"/>
        <v/>
      </c>
      <c r="V46" s="13" t="str">
        <f t="shared" si="19"/>
        <v/>
      </c>
      <c r="W46" s="13" t="str">
        <f t="shared" si="15"/>
        <v/>
      </c>
    </row>
    <row r="47" spans="1:23" x14ac:dyDescent="0.25">
      <c r="A47" s="1363">
        <v>0.43</v>
      </c>
      <c r="B47" s="13">
        <f t="shared" si="3"/>
        <v>4.1000000000000002E-2</v>
      </c>
      <c r="C47" s="1364">
        <f t="shared" si="17"/>
        <v>70.3</v>
      </c>
      <c r="D47" s="1431">
        <f>B47*'Рейтинг МКД'!$D$11+'кривые-экспресс'!C47+IF('Рейтинг МКД'!$D$15="нет",7,10)</f>
        <v>315.53750000000002</v>
      </c>
      <c r="E47" s="1431" t="str">
        <f t="shared" si="4"/>
        <v/>
      </c>
      <c r="F47" s="1364" t="str">
        <f t="shared" si="5"/>
        <v/>
      </c>
      <c r="G47" s="1364" t="str">
        <f t="shared" si="6"/>
        <v/>
      </c>
      <c r="H47" s="1364" t="str">
        <f t="shared" si="7"/>
        <v/>
      </c>
      <c r="I47" s="1364" t="str">
        <f t="shared" si="8"/>
        <v/>
      </c>
      <c r="J47" s="1364" t="str">
        <f t="shared" si="9"/>
        <v/>
      </c>
      <c r="K47" s="1364">
        <f t="shared" si="10"/>
        <v>315.53750000000002</v>
      </c>
      <c r="L47" s="1364" t="str">
        <f t="shared" si="11"/>
        <v/>
      </c>
      <c r="M47" s="1364" t="str">
        <f t="shared" si="12"/>
        <v/>
      </c>
      <c r="N47" s="13">
        <f t="shared" si="20"/>
        <v>1.9823257080610023E-2</v>
      </c>
      <c r="O47" s="13">
        <f t="shared" si="20"/>
        <v>138.46648284313724</v>
      </c>
      <c r="P47" s="13">
        <f t="shared" si="20"/>
        <v>272.20242034313725</v>
      </c>
      <c r="Q47" s="13">
        <f t="shared" si="20"/>
        <v>7.929302832244009E-3</v>
      </c>
      <c r="R47" s="13">
        <f t="shared" si="20"/>
        <v>55.386593137254899</v>
      </c>
      <c r="S47" s="13">
        <f t="shared" si="20"/>
        <v>114.88096813725491</v>
      </c>
      <c r="U47" s="13" t="str">
        <f t="shared" si="18"/>
        <v/>
      </c>
      <c r="V47" s="13" t="str">
        <f t="shared" si="19"/>
        <v/>
      </c>
      <c r="W47" s="13" t="str">
        <f t="shared" si="15"/>
        <v/>
      </c>
    </row>
    <row r="48" spans="1:23" x14ac:dyDescent="0.25">
      <c r="A48" s="1363">
        <v>0.44</v>
      </c>
      <c r="B48" s="13">
        <f t="shared" si="3"/>
        <v>4.1000000000000002E-2</v>
      </c>
      <c r="C48" s="1364">
        <f t="shared" si="17"/>
        <v>70.3</v>
      </c>
      <c r="D48" s="1431">
        <f>B48*'Рейтинг МКД'!$D$11+'кривые-экспресс'!C48+IF('Рейтинг МКД'!$D$15="нет",7,10)</f>
        <v>315.53750000000002</v>
      </c>
      <c r="E48" s="1431" t="str">
        <f t="shared" si="4"/>
        <v/>
      </c>
      <c r="F48" s="1364" t="str">
        <f t="shared" si="5"/>
        <v/>
      </c>
      <c r="G48" s="1364" t="str">
        <f t="shared" si="6"/>
        <v/>
      </c>
      <c r="H48" s="1364" t="str">
        <f t="shared" si="7"/>
        <v/>
      </c>
      <c r="I48" s="1364" t="str">
        <f t="shared" si="8"/>
        <v/>
      </c>
      <c r="J48" s="1364" t="str">
        <f t="shared" si="9"/>
        <v/>
      </c>
      <c r="K48" s="1364">
        <f t="shared" si="10"/>
        <v>315.53750000000002</v>
      </c>
      <c r="L48" s="1364" t="str">
        <f t="shared" si="11"/>
        <v/>
      </c>
      <c r="M48" s="1364" t="str">
        <f t="shared" si="12"/>
        <v/>
      </c>
      <c r="N48" s="13">
        <f t="shared" si="20"/>
        <v>1.9823257080610023E-2</v>
      </c>
      <c r="O48" s="13">
        <f t="shared" si="20"/>
        <v>138.46648284313724</v>
      </c>
      <c r="P48" s="13">
        <f t="shared" si="20"/>
        <v>272.20242034313725</v>
      </c>
      <c r="Q48" s="13">
        <f t="shared" si="20"/>
        <v>7.929302832244009E-3</v>
      </c>
      <c r="R48" s="13">
        <f t="shared" si="20"/>
        <v>55.386593137254899</v>
      </c>
      <c r="S48" s="13">
        <f t="shared" si="20"/>
        <v>114.88096813725491</v>
      </c>
      <c r="U48" s="13" t="str">
        <f t="shared" si="18"/>
        <v/>
      </c>
      <c r="V48" s="13" t="str">
        <f t="shared" si="19"/>
        <v/>
      </c>
      <c r="W48" s="13" t="str">
        <f t="shared" si="15"/>
        <v/>
      </c>
    </row>
    <row r="49" spans="1:23" x14ac:dyDescent="0.25">
      <c r="A49" s="1363">
        <v>0.45</v>
      </c>
      <c r="B49" s="13">
        <f t="shared" si="3"/>
        <v>4.2000000000000003E-2</v>
      </c>
      <c r="C49" s="1364">
        <f t="shared" si="17"/>
        <v>71.400000000000006</v>
      </c>
      <c r="D49" s="1431">
        <f>B49*'Рейтинг МКД'!$D$11+'кривые-экспресс'!C49+IF('Рейтинг МКД'!$D$15="нет",7,10)</f>
        <v>322.375</v>
      </c>
      <c r="E49" s="1431" t="str">
        <f t="shared" si="4"/>
        <v/>
      </c>
      <c r="F49" s="1364" t="str">
        <f t="shared" si="5"/>
        <v/>
      </c>
      <c r="G49" s="1364" t="str">
        <f t="shared" si="6"/>
        <v/>
      </c>
      <c r="H49" s="1364" t="str">
        <f t="shared" si="7"/>
        <v/>
      </c>
      <c r="I49" s="1364" t="str">
        <f t="shared" si="8"/>
        <v/>
      </c>
      <c r="J49" s="1364" t="str">
        <f t="shared" si="9"/>
        <v/>
      </c>
      <c r="K49" s="1364">
        <f t="shared" si="10"/>
        <v>322.375</v>
      </c>
      <c r="L49" s="1364" t="str">
        <f t="shared" si="11"/>
        <v/>
      </c>
      <c r="M49" s="1364" t="str">
        <f t="shared" si="12"/>
        <v/>
      </c>
      <c r="N49" s="13">
        <f t="shared" si="20"/>
        <v>1.9823257080610023E-2</v>
      </c>
      <c r="O49" s="13">
        <f t="shared" si="20"/>
        <v>138.46648284313724</v>
      </c>
      <c r="P49" s="13">
        <f t="shared" si="20"/>
        <v>272.20242034313725</v>
      </c>
      <c r="Q49" s="13">
        <f t="shared" si="20"/>
        <v>7.929302832244009E-3</v>
      </c>
      <c r="R49" s="13">
        <f t="shared" si="20"/>
        <v>55.386593137254899</v>
      </c>
      <c r="S49" s="13">
        <f t="shared" si="20"/>
        <v>114.88096813725491</v>
      </c>
      <c r="U49" s="13" t="str">
        <f t="shared" si="18"/>
        <v/>
      </c>
      <c r="V49" s="13" t="str">
        <f t="shared" si="19"/>
        <v/>
      </c>
      <c r="W49" s="13" t="str">
        <f t="shared" si="15"/>
        <v/>
      </c>
    </row>
    <row r="50" spans="1:23" x14ac:dyDescent="0.25">
      <c r="A50" s="1363">
        <v>0.46</v>
      </c>
      <c r="B50" s="13">
        <f t="shared" si="3"/>
        <v>4.2000000000000003E-2</v>
      </c>
      <c r="C50" s="1364">
        <f t="shared" si="17"/>
        <v>71.400000000000006</v>
      </c>
      <c r="D50" s="1431">
        <f>B50*'Рейтинг МКД'!$D$11+'кривые-экспресс'!C50+IF('Рейтинг МКД'!$D$15="нет",7,10)</f>
        <v>322.375</v>
      </c>
      <c r="E50" s="1431" t="str">
        <f t="shared" si="4"/>
        <v/>
      </c>
      <c r="F50" s="1364" t="str">
        <f t="shared" si="5"/>
        <v/>
      </c>
      <c r="G50" s="1364" t="str">
        <f t="shared" si="6"/>
        <v/>
      </c>
      <c r="H50" s="1364" t="str">
        <f t="shared" si="7"/>
        <v/>
      </c>
      <c r="I50" s="1364" t="str">
        <f t="shared" si="8"/>
        <v/>
      </c>
      <c r="J50" s="1364" t="str">
        <f t="shared" si="9"/>
        <v/>
      </c>
      <c r="K50" s="1364">
        <f t="shared" si="10"/>
        <v>322.375</v>
      </c>
      <c r="L50" s="1364" t="str">
        <f t="shared" si="11"/>
        <v/>
      </c>
      <c r="M50" s="1364" t="str">
        <f t="shared" si="12"/>
        <v/>
      </c>
      <c r="N50" s="13">
        <f t="shared" si="20"/>
        <v>1.9823257080610023E-2</v>
      </c>
      <c r="O50" s="13">
        <f t="shared" si="20"/>
        <v>138.46648284313724</v>
      </c>
      <c r="P50" s="13">
        <f t="shared" si="20"/>
        <v>272.20242034313725</v>
      </c>
      <c r="Q50" s="13">
        <f t="shared" si="20"/>
        <v>7.929302832244009E-3</v>
      </c>
      <c r="R50" s="13">
        <f t="shared" si="20"/>
        <v>55.386593137254899</v>
      </c>
      <c r="S50" s="13">
        <f t="shared" si="20"/>
        <v>114.88096813725491</v>
      </c>
      <c r="U50" s="13" t="str">
        <f t="shared" si="18"/>
        <v/>
      </c>
      <c r="V50" s="13" t="str">
        <f t="shared" si="19"/>
        <v/>
      </c>
      <c r="W50" s="13" t="str">
        <f t="shared" si="15"/>
        <v/>
      </c>
    </row>
    <row r="51" spans="1:23" x14ac:dyDescent="0.25">
      <c r="A51" s="1363">
        <v>0.47</v>
      </c>
      <c r="B51" s="13">
        <f t="shared" si="3"/>
        <v>4.2999999999999997E-2</v>
      </c>
      <c r="C51" s="1364">
        <f t="shared" si="17"/>
        <v>72.8</v>
      </c>
      <c r="D51" s="1431">
        <f>B51*'Рейтинг МКД'!$D$11+'кривые-экспресс'!C51+IF('Рейтинг МКД'!$D$15="нет",7,10)</f>
        <v>329.51249999999999</v>
      </c>
      <c r="E51" s="1431" t="str">
        <f t="shared" si="4"/>
        <v/>
      </c>
      <c r="F51" s="1364" t="str">
        <f t="shared" si="5"/>
        <v/>
      </c>
      <c r="G51" s="1364" t="str">
        <f t="shared" si="6"/>
        <v/>
      </c>
      <c r="H51" s="1364" t="str">
        <f t="shared" si="7"/>
        <v/>
      </c>
      <c r="I51" s="1364" t="str">
        <f t="shared" si="8"/>
        <v/>
      </c>
      <c r="J51" s="1364" t="str">
        <f t="shared" si="9"/>
        <v/>
      </c>
      <c r="K51" s="1364" t="str">
        <f t="shared" si="10"/>
        <v/>
      </c>
      <c r="L51" s="1364">
        <f t="shared" si="11"/>
        <v>329.51249999999999</v>
      </c>
      <c r="M51" s="1364" t="str">
        <f t="shared" si="12"/>
        <v/>
      </c>
      <c r="N51" s="13">
        <f t="shared" si="20"/>
        <v>1.9823257080610023E-2</v>
      </c>
      <c r="O51" s="13">
        <f t="shared" si="20"/>
        <v>138.46648284313724</v>
      </c>
      <c r="P51" s="13">
        <f t="shared" si="20"/>
        <v>272.20242034313725</v>
      </c>
      <c r="Q51" s="13">
        <f t="shared" si="20"/>
        <v>7.929302832244009E-3</v>
      </c>
      <c r="R51" s="13">
        <f t="shared" si="20"/>
        <v>55.386593137254899</v>
      </c>
      <c r="S51" s="13">
        <f t="shared" si="20"/>
        <v>114.88096813725491</v>
      </c>
      <c r="U51" s="13" t="str">
        <f t="shared" si="18"/>
        <v/>
      </c>
      <c r="V51" s="13" t="str">
        <f t="shared" si="19"/>
        <v/>
      </c>
      <c r="W51" s="13" t="str">
        <f t="shared" si="15"/>
        <v/>
      </c>
    </row>
    <row r="52" spans="1:23" x14ac:dyDescent="0.25">
      <c r="A52" s="1363">
        <v>0.48</v>
      </c>
      <c r="B52" s="13">
        <f t="shared" si="3"/>
        <v>4.2999999999999997E-2</v>
      </c>
      <c r="C52" s="1364">
        <f t="shared" si="17"/>
        <v>72.8</v>
      </c>
      <c r="D52" s="1431">
        <f>B52*'Рейтинг МКД'!$D$11+'кривые-экспресс'!C52+IF('Рейтинг МКД'!$D$15="нет",7,10)</f>
        <v>329.51249999999999</v>
      </c>
      <c r="E52" s="1431" t="str">
        <f t="shared" si="4"/>
        <v/>
      </c>
      <c r="F52" s="1364" t="str">
        <f t="shared" si="5"/>
        <v/>
      </c>
      <c r="G52" s="1364" t="str">
        <f t="shared" si="6"/>
        <v/>
      </c>
      <c r="H52" s="1364" t="str">
        <f t="shared" si="7"/>
        <v/>
      </c>
      <c r="I52" s="1364" t="str">
        <f t="shared" si="8"/>
        <v/>
      </c>
      <c r="J52" s="1364" t="str">
        <f t="shared" si="9"/>
        <v/>
      </c>
      <c r="K52" s="1364" t="str">
        <f t="shared" si="10"/>
        <v/>
      </c>
      <c r="L52" s="1364">
        <f t="shared" si="11"/>
        <v>329.51249999999999</v>
      </c>
      <c r="M52" s="1364" t="str">
        <f t="shared" si="12"/>
        <v/>
      </c>
      <c r="N52" s="13">
        <f t="shared" si="20"/>
        <v>1.9823257080610023E-2</v>
      </c>
      <c r="O52" s="13">
        <f t="shared" si="20"/>
        <v>138.46648284313724</v>
      </c>
      <c r="P52" s="13">
        <f t="shared" si="20"/>
        <v>272.20242034313725</v>
      </c>
      <c r="Q52" s="13">
        <f t="shared" si="20"/>
        <v>7.929302832244009E-3</v>
      </c>
      <c r="R52" s="13">
        <f t="shared" si="20"/>
        <v>55.386593137254899</v>
      </c>
      <c r="S52" s="13">
        <f t="shared" si="20"/>
        <v>114.88096813725491</v>
      </c>
      <c r="U52" s="13" t="str">
        <f t="shared" si="18"/>
        <v/>
      </c>
      <c r="V52" s="13" t="str">
        <f t="shared" si="19"/>
        <v/>
      </c>
      <c r="W52" s="13" t="str">
        <f t="shared" si="15"/>
        <v/>
      </c>
    </row>
    <row r="53" spans="1:23" x14ac:dyDescent="0.25">
      <c r="A53" s="1363">
        <v>0.49</v>
      </c>
      <c r="B53" s="13">
        <f t="shared" si="3"/>
        <v>4.2999999999999997E-2</v>
      </c>
      <c r="C53" s="1364">
        <f t="shared" si="17"/>
        <v>74.3</v>
      </c>
      <c r="D53" s="1431">
        <f>B53*'Рейтинг МКД'!$D$11+'кривые-экспресс'!C53+IF('Рейтинг МКД'!$D$15="нет",7,10)</f>
        <v>331.01249999999999</v>
      </c>
      <c r="E53" s="1431" t="str">
        <f t="shared" si="4"/>
        <v/>
      </c>
      <c r="F53" s="1364" t="str">
        <f t="shared" si="5"/>
        <v/>
      </c>
      <c r="G53" s="1364" t="str">
        <f t="shared" si="6"/>
        <v/>
      </c>
      <c r="H53" s="1364" t="str">
        <f t="shared" si="7"/>
        <v/>
      </c>
      <c r="I53" s="1364" t="str">
        <f t="shared" si="8"/>
        <v/>
      </c>
      <c r="J53" s="1364" t="str">
        <f t="shared" si="9"/>
        <v/>
      </c>
      <c r="K53" s="1364" t="str">
        <f t="shared" si="10"/>
        <v/>
      </c>
      <c r="L53" s="1364">
        <f t="shared" si="11"/>
        <v>331.01249999999999</v>
      </c>
      <c r="M53" s="1364" t="str">
        <f t="shared" si="12"/>
        <v/>
      </c>
      <c r="N53" s="13">
        <f t="shared" si="20"/>
        <v>1.9823257080610023E-2</v>
      </c>
      <c r="O53" s="13">
        <f t="shared" si="20"/>
        <v>138.46648284313724</v>
      </c>
      <c r="P53" s="13">
        <f t="shared" si="20"/>
        <v>272.20242034313725</v>
      </c>
      <c r="Q53" s="13">
        <f t="shared" si="20"/>
        <v>7.929302832244009E-3</v>
      </c>
      <c r="R53" s="13">
        <f t="shared" si="20"/>
        <v>55.386593137254899</v>
      </c>
      <c r="S53" s="13">
        <f t="shared" si="20"/>
        <v>114.88096813725491</v>
      </c>
      <c r="U53" s="13" t="str">
        <f t="shared" si="18"/>
        <v/>
      </c>
      <c r="V53" s="13" t="str">
        <f t="shared" si="19"/>
        <v/>
      </c>
      <c r="W53" s="13" t="str">
        <f t="shared" si="15"/>
        <v/>
      </c>
    </row>
    <row r="54" spans="1:23" x14ac:dyDescent="0.25">
      <c r="A54" s="1363">
        <v>0.5</v>
      </c>
      <c r="B54" s="13">
        <f t="shared" si="3"/>
        <v>4.2999999999999997E-2</v>
      </c>
      <c r="C54" s="1364">
        <f t="shared" si="17"/>
        <v>74.3</v>
      </c>
      <c r="D54" s="1431">
        <f>B54*'Рейтинг МКД'!$D$11+'кривые-экспресс'!C54+IF('Рейтинг МКД'!$D$15="нет",7,10)</f>
        <v>331.01249999999999</v>
      </c>
      <c r="E54" s="1431" t="str">
        <f t="shared" si="4"/>
        <v/>
      </c>
      <c r="F54" s="1364" t="str">
        <f t="shared" si="5"/>
        <v/>
      </c>
      <c r="G54" s="1364" t="str">
        <f t="shared" si="6"/>
        <v/>
      </c>
      <c r="H54" s="1364" t="str">
        <f t="shared" si="7"/>
        <v/>
      </c>
      <c r="I54" s="1364" t="str">
        <f t="shared" si="8"/>
        <v/>
      </c>
      <c r="J54" s="1364" t="str">
        <f t="shared" si="9"/>
        <v/>
      </c>
      <c r="K54" s="1364" t="str">
        <f t="shared" si="10"/>
        <v/>
      </c>
      <c r="L54" s="1364">
        <f t="shared" si="11"/>
        <v>331.01249999999999</v>
      </c>
      <c r="M54" s="1364" t="str">
        <f t="shared" si="12"/>
        <v/>
      </c>
      <c r="N54" s="13">
        <f t="shared" si="20"/>
        <v>1.9823257080610023E-2</v>
      </c>
      <c r="O54" s="13">
        <f t="shared" si="20"/>
        <v>138.46648284313724</v>
      </c>
      <c r="P54" s="13">
        <f t="shared" si="20"/>
        <v>272.20242034313725</v>
      </c>
      <c r="Q54" s="13">
        <f t="shared" si="20"/>
        <v>7.929302832244009E-3</v>
      </c>
      <c r="R54" s="13">
        <f t="shared" si="20"/>
        <v>55.386593137254899</v>
      </c>
      <c r="S54" s="13">
        <f t="shared" si="20"/>
        <v>114.88096813725491</v>
      </c>
      <c r="U54" s="13" t="str">
        <f t="shared" si="18"/>
        <v/>
      </c>
      <c r="V54" s="13" t="str">
        <f t="shared" si="19"/>
        <v/>
      </c>
      <c r="W54" s="13" t="str">
        <f t="shared" si="15"/>
        <v/>
      </c>
    </row>
    <row r="55" spans="1:23" x14ac:dyDescent="0.25">
      <c r="A55" s="1363">
        <v>0.51</v>
      </c>
      <c r="B55" s="13">
        <f t="shared" si="3"/>
        <v>4.3999999999999997E-2</v>
      </c>
      <c r="C55" s="1364">
        <f t="shared" si="17"/>
        <v>75.2</v>
      </c>
      <c r="D55" s="1431">
        <f>B55*'Рейтинг МКД'!$D$11+'кривые-экспресс'!C55+IF('Рейтинг МКД'!$D$15="нет",7,10)</f>
        <v>337.65</v>
      </c>
      <c r="E55" s="1431" t="str">
        <f t="shared" si="4"/>
        <v/>
      </c>
      <c r="F55" s="1364" t="str">
        <f t="shared" si="5"/>
        <v/>
      </c>
      <c r="G55" s="1364" t="str">
        <f t="shared" si="6"/>
        <v/>
      </c>
      <c r="H55" s="1364" t="str">
        <f t="shared" si="7"/>
        <v/>
      </c>
      <c r="I55" s="1364" t="str">
        <f t="shared" si="8"/>
        <v/>
      </c>
      <c r="J55" s="1364" t="str">
        <f t="shared" si="9"/>
        <v/>
      </c>
      <c r="K55" s="1364" t="str">
        <f t="shared" si="10"/>
        <v/>
      </c>
      <c r="L55" s="1364">
        <f t="shared" si="11"/>
        <v>337.65</v>
      </c>
      <c r="M55" s="1364" t="str">
        <f t="shared" si="12"/>
        <v/>
      </c>
      <c r="N55" s="13">
        <f t="shared" ref="N55:S70" si="21">N54</f>
        <v>1.9823257080610023E-2</v>
      </c>
      <c r="O55" s="13">
        <f t="shared" si="21"/>
        <v>138.46648284313724</v>
      </c>
      <c r="P55" s="13">
        <f t="shared" si="21"/>
        <v>272.20242034313725</v>
      </c>
      <c r="Q55" s="13">
        <f t="shared" si="21"/>
        <v>7.929302832244009E-3</v>
      </c>
      <c r="R55" s="13">
        <f t="shared" si="21"/>
        <v>55.386593137254899</v>
      </c>
      <c r="S55" s="13">
        <f t="shared" si="21"/>
        <v>114.88096813725491</v>
      </c>
      <c r="U55" s="13" t="str">
        <f t="shared" si="18"/>
        <v/>
      </c>
      <c r="V55" s="13" t="str">
        <f t="shared" si="19"/>
        <v/>
      </c>
      <c r="W55" s="13" t="str">
        <f t="shared" si="15"/>
        <v/>
      </c>
    </row>
    <row r="56" spans="1:23" x14ac:dyDescent="0.25">
      <c r="A56" s="1363">
        <v>0.52</v>
      </c>
      <c r="B56" s="13">
        <f t="shared" si="3"/>
        <v>4.3999999999999997E-2</v>
      </c>
      <c r="C56" s="1364">
        <f t="shared" si="17"/>
        <v>75.2</v>
      </c>
      <c r="D56" s="1431">
        <f>B56*'Рейтинг МКД'!$D$11+'кривые-экспресс'!C56+IF('Рейтинг МКД'!$D$15="нет",7,10)</f>
        <v>337.65</v>
      </c>
      <c r="E56" s="1431" t="str">
        <f t="shared" si="4"/>
        <v/>
      </c>
      <c r="F56" s="1364" t="str">
        <f t="shared" si="5"/>
        <v/>
      </c>
      <c r="G56" s="1364" t="str">
        <f t="shared" si="6"/>
        <v/>
      </c>
      <c r="H56" s="1364" t="str">
        <f t="shared" si="7"/>
        <v/>
      </c>
      <c r="I56" s="1364" t="str">
        <f t="shared" si="8"/>
        <v/>
      </c>
      <c r="J56" s="1364" t="str">
        <f t="shared" si="9"/>
        <v/>
      </c>
      <c r="K56" s="1364" t="str">
        <f t="shared" si="10"/>
        <v/>
      </c>
      <c r="L56" s="1364">
        <f t="shared" si="11"/>
        <v>337.65</v>
      </c>
      <c r="M56" s="1364" t="str">
        <f t="shared" si="12"/>
        <v/>
      </c>
      <c r="N56" s="13">
        <f t="shared" si="21"/>
        <v>1.9823257080610023E-2</v>
      </c>
      <c r="O56" s="13">
        <f t="shared" si="21"/>
        <v>138.46648284313724</v>
      </c>
      <c r="P56" s="13">
        <f t="shared" si="21"/>
        <v>272.20242034313725</v>
      </c>
      <c r="Q56" s="13">
        <f t="shared" si="21"/>
        <v>7.929302832244009E-3</v>
      </c>
      <c r="R56" s="13">
        <f t="shared" si="21"/>
        <v>55.386593137254899</v>
      </c>
      <c r="S56" s="13">
        <f t="shared" si="21"/>
        <v>114.88096813725491</v>
      </c>
      <c r="U56" s="13" t="str">
        <f t="shared" si="18"/>
        <v/>
      </c>
      <c r="V56" s="13" t="str">
        <f t="shared" si="19"/>
        <v/>
      </c>
      <c r="W56" s="13" t="str">
        <f t="shared" si="15"/>
        <v/>
      </c>
    </row>
    <row r="57" spans="1:23" x14ac:dyDescent="0.25">
      <c r="A57" s="1363">
        <v>0.53</v>
      </c>
      <c r="B57" s="13">
        <f t="shared" si="3"/>
        <v>4.4999999999999998E-2</v>
      </c>
      <c r="C57" s="1364">
        <f t="shared" si="17"/>
        <v>76.400000000000006</v>
      </c>
      <c r="D57" s="1431">
        <f>B57*'Рейтинг МКД'!$D$11+'кривые-экспресс'!C57+IF('Рейтинг МКД'!$D$15="нет",7,10)</f>
        <v>344.58749999999998</v>
      </c>
      <c r="E57" s="1431" t="str">
        <f t="shared" si="4"/>
        <v/>
      </c>
      <c r="F57" s="1364" t="str">
        <f t="shared" si="5"/>
        <v/>
      </c>
      <c r="G57" s="1364" t="str">
        <f t="shared" si="6"/>
        <v/>
      </c>
      <c r="H57" s="1364" t="str">
        <f t="shared" si="7"/>
        <v/>
      </c>
      <c r="I57" s="1364" t="str">
        <f t="shared" si="8"/>
        <v/>
      </c>
      <c r="J57" s="1364" t="str">
        <f t="shared" si="9"/>
        <v/>
      </c>
      <c r="K57" s="1364" t="str">
        <f t="shared" si="10"/>
        <v/>
      </c>
      <c r="L57" s="1364">
        <f t="shared" si="11"/>
        <v>344.58749999999998</v>
      </c>
      <c r="M57" s="1364" t="str">
        <f t="shared" si="12"/>
        <v/>
      </c>
      <c r="N57" s="13">
        <f t="shared" si="21"/>
        <v>1.9823257080610023E-2</v>
      </c>
      <c r="O57" s="13">
        <f t="shared" si="21"/>
        <v>138.46648284313724</v>
      </c>
      <c r="P57" s="13">
        <f t="shared" si="21"/>
        <v>272.20242034313725</v>
      </c>
      <c r="Q57" s="13">
        <f t="shared" si="21"/>
        <v>7.929302832244009E-3</v>
      </c>
      <c r="R57" s="13">
        <f t="shared" si="21"/>
        <v>55.386593137254899</v>
      </c>
      <c r="S57" s="13">
        <f t="shared" si="21"/>
        <v>114.88096813725491</v>
      </c>
      <c r="U57" s="13" t="str">
        <f t="shared" si="18"/>
        <v/>
      </c>
      <c r="V57" s="13" t="str">
        <f t="shared" si="19"/>
        <v/>
      </c>
      <c r="W57" s="13" t="str">
        <f t="shared" si="15"/>
        <v/>
      </c>
    </row>
    <row r="58" spans="1:23" x14ac:dyDescent="0.25">
      <c r="A58" s="1363">
        <v>0.54</v>
      </c>
      <c r="B58" s="13">
        <f t="shared" si="3"/>
        <v>4.4999999999999998E-2</v>
      </c>
      <c r="C58" s="1364">
        <f t="shared" si="17"/>
        <v>76.400000000000006</v>
      </c>
      <c r="D58" s="1431">
        <f>B58*'Рейтинг МКД'!$D$11+'кривые-экспресс'!C58+IF('Рейтинг МКД'!$D$15="нет",7,10)</f>
        <v>344.58749999999998</v>
      </c>
      <c r="E58" s="1431" t="str">
        <f t="shared" si="4"/>
        <v/>
      </c>
      <c r="F58" s="1364" t="str">
        <f t="shared" si="5"/>
        <v/>
      </c>
      <c r="G58" s="1364" t="str">
        <f t="shared" si="6"/>
        <v/>
      </c>
      <c r="H58" s="1364" t="str">
        <f t="shared" si="7"/>
        <v/>
      </c>
      <c r="I58" s="1364" t="str">
        <f t="shared" si="8"/>
        <v/>
      </c>
      <c r="J58" s="1364" t="str">
        <f t="shared" si="9"/>
        <v/>
      </c>
      <c r="K58" s="1364" t="str">
        <f t="shared" si="10"/>
        <v/>
      </c>
      <c r="L58" s="1364">
        <f t="shared" si="11"/>
        <v>344.58749999999998</v>
      </c>
      <c r="M58" s="1364" t="str">
        <f t="shared" si="12"/>
        <v/>
      </c>
      <c r="N58" s="13">
        <f t="shared" si="21"/>
        <v>1.9823257080610023E-2</v>
      </c>
      <c r="O58" s="13">
        <f t="shared" si="21"/>
        <v>138.46648284313724</v>
      </c>
      <c r="P58" s="13">
        <f t="shared" si="21"/>
        <v>272.20242034313725</v>
      </c>
      <c r="Q58" s="13">
        <f t="shared" si="21"/>
        <v>7.929302832244009E-3</v>
      </c>
      <c r="R58" s="13">
        <f t="shared" si="21"/>
        <v>55.386593137254899</v>
      </c>
      <c r="S58" s="13">
        <f t="shared" si="21"/>
        <v>114.88096813725491</v>
      </c>
      <c r="U58" s="13" t="str">
        <f t="shared" si="18"/>
        <v/>
      </c>
      <c r="V58" s="13" t="str">
        <f t="shared" si="19"/>
        <v/>
      </c>
      <c r="W58" s="13" t="str">
        <f t="shared" si="15"/>
        <v/>
      </c>
    </row>
    <row r="59" spans="1:23" x14ac:dyDescent="0.25">
      <c r="A59" s="1363">
        <v>0.55000000000000004</v>
      </c>
      <c r="B59" s="13">
        <f t="shared" si="3"/>
        <v>4.4999999999999998E-2</v>
      </c>
      <c r="C59" s="1364">
        <f t="shared" si="17"/>
        <v>78.5</v>
      </c>
      <c r="D59" s="1431">
        <f>B59*'Рейтинг МКД'!$D$11+'кривые-экспресс'!C59+IF('Рейтинг МКД'!$D$15="нет",7,10)</f>
        <v>346.6875</v>
      </c>
      <c r="E59" s="1431" t="str">
        <f t="shared" si="4"/>
        <v/>
      </c>
      <c r="F59" s="1364" t="str">
        <f t="shared" si="5"/>
        <v/>
      </c>
      <c r="G59" s="1364" t="str">
        <f t="shared" si="6"/>
        <v/>
      </c>
      <c r="H59" s="1364" t="str">
        <f t="shared" si="7"/>
        <v/>
      </c>
      <c r="I59" s="1364" t="str">
        <f t="shared" si="8"/>
        <v/>
      </c>
      <c r="J59" s="1364" t="str">
        <f t="shared" si="9"/>
        <v/>
      </c>
      <c r="K59" s="1364" t="str">
        <f t="shared" si="10"/>
        <v/>
      </c>
      <c r="L59" s="1364">
        <f t="shared" si="11"/>
        <v>346.6875</v>
      </c>
      <c r="M59" s="1364" t="str">
        <f t="shared" si="12"/>
        <v/>
      </c>
      <c r="N59" s="13">
        <f t="shared" si="21"/>
        <v>1.9823257080610023E-2</v>
      </c>
      <c r="O59" s="13">
        <f t="shared" si="21"/>
        <v>138.46648284313724</v>
      </c>
      <c r="P59" s="13">
        <f t="shared" si="21"/>
        <v>272.20242034313725</v>
      </c>
      <c r="Q59" s="13">
        <f t="shared" si="21"/>
        <v>7.929302832244009E-3</v>
      </c>
      <c r="R59" s="13">
        <f t="shared" si="21"/>
        <v>55.386593137254899</v>
      </c>
      <c r="S59" s="13">
        <f t="shared" si="21"/>
        <v>114.88096813725491</v>
      </c>
      <c r="U59" s="13" t="str">
        <f t="shared" si="18"/>
        <v/>
      </c>
      <c r="V59" s="13" t="str">
        <f t="shared" si="19"/>
        <v/>
      </c>
      <c r="W59" s="13" t="str">
        <f t="shared" si="15"/>
        <v/>
      </c>
    </row>
    <row r="60" spans="1:23" x14ac:dyDescent="0.25">
      <c r="A60" s="1363">
        <v>0.56000000000000005</v>
      </c>
      <c r="B60" s="13">
        <f t="shared" si="3"/>
        <v>4.4999999999999998E-2</v>
      </c>
      <c r="C60" s="1364">
        <f t="shared" si="17"/>
        <v>78.5</v>
      </c>
      <c r="D60" s="1431">
        <f>B60*'Рейтинг МКД'!$D$11+'кривые-экспресс'!C60+IF('Рейтинг МКД'!$D$15="нет",7,10)</f>
        <v>346.6875</v>
      </c>
      <c r="E60" s="1431" t="str">
        <f t="shared" si="4"/>
        <v/>
      </c>
      <c r="F60" s="1364" t="str">
        <f t="shared" si="5"/>
        <v/>
      </c>
      <c r="G60" s="1364" t="str">
        <f t="shared" si="6"/>
        <v/>
      </c>
      <c r="H60" s="1364" t="str">
        <f t="shared" si="7"/>
        <v/>
      </c>
      <c r="I60" s="1364" t="str">
        <f t="shared" si="8"/>
        <v/>
      </c>
      <c r="J60" s="1364" t="str">
        <f t="shared" si="9"/>
        <v/>
      </c>
      <c r="K60" s="1364" t="str">
        <f t="shared" si="10"/>
        <v/>
      </c>
      <c r="L60" s="1364">
        <f t="shared" si="11"/>
        <v>346.6875</v>
      </c>
      <c r="M60" s="1364" t="str">
        <f t="shared" si="12"/>
        <v/>
      </c>
      <c r="N60" s="13">
        <f t="shared" si="21"/>
        <v>1.9823257080610023E-2</v>
      </c>
      <c r="O60" s="13">
        <f t="shared" si="21"/>
        <v>138.46648284313724</v>
      </c>
      <c r="P60" s="13">
        <f t="shared" si="21"/>
        <v>272.20242034313725</v>
      </c>
      <c r="Q60" s="13">
        <f t="shared" si="21"/>
        <v>7.929302832244009E-3</v>
      </c>
      <c r="R60" s="13">
        <f t="shared" si="21"/>
        <v>55.386593137254899</v>
      </c>
      <c r="S60" s="13">
        <f t="shared" si="21"/>
        <v>114.88096813725491</v>
      </c>
      <c r="U60" s="13" t="str">
        <f t="shared" si="18"/>
        <v/>
      </c>
      <c r="V60" s="13" t="str">
        <f t="shared" si="19"/>
        <v/>
      </c>
      <c r="W60" s="13" t="str">
        <f t="shared" si="15"/>
        <v/>
      </c>
    </row>
    <row r="61" spans="1:23" x14ac:dyDescent="0.25">
      <c r="A61" s="1363">
        <v>0.56999999999999995</v>
      </c>
      <c r="B61" s="13">
        <f t="shared" si="3"/>
        <v>4.5999999999999999E-2</v>
      </c>
      <c r="C61" s="1364">
        <f t="shared" si="17"/>
        <v>80.599999999999994</v>
      </c>
      <c r="D61" s="1431">
        <f>B61*'Рейтинг МКД'!$D$11+'кривые-экспресс'!C61+IF('Рейтинг МКД'!$D$15="нет",7,10)</f>
        <v>354.52499999999998</v>
      </c>
      <c r="E61" s="1431" t="str">
        <f t="shared" si="4"/>
        <v/>
      </c>
      <c r="F61" s="1364" t="str">
        <f t="shared" si="5"/>
        <v/>
      </c>
      <c r="G61" s="1364" t="str">
        <f t="shared" si="6"/>
        <v/>
      </c>
      <c r="H61" s="1364" t="str">
        <f t="shared" si="7"/>
        <v/>
      </c>
      <c r="I61" s="1364" t="str">
        <f t="shared" si="8"/>
        <v/>
      </c>
      <c r="J61" s="1364" t="str">
        <f t="shared" si="9"/>
        <v/>
      </c>
      <c r="K61" s="1364" t="str">
        <f t="shared" si="10"/>
        <v/>
      </c>
      <c r="L61" s="1364">
        <f t="shared" si="11"/>
        <v>354.52499999999998</v>
      </c>
      <c r="M61" s="1364" t="str">
        <f t="shared" si="12"/>
        <v/>
      </c>
      <c r="N61" s="13">
        <f t="shared" si="21"/>
        <v>1.9823257080610023E-2</v>
      </c>
      <c r="O61" s="13">
        <f t="shared" si="21"/>
        <v>138.46648284313724</v>
      </c>
      <c r="P61" s="13">
        <f t="shared" si="21"/>
        <v>272.20242034313725</v>
      </c>
      <c r="Q61" s="13">
        <f t="shared" si="21"/>
        <v>7.929302832244009E-3</v>
      </c>
      <c r="R61" s="13">
        <f t="shared" si="21"/>
        <v>55.386593137254899</v>
      </c>
      <c r="S61" s="13">
        <f t="shared" si="21"/>
        <v>114.88096813725491</v>
      </c>
      <c r="U61" s="13" t="str">
        <f t="shared" si="18"/>
        <v/>
      </c>
      <c r="V61" s="13" t="str">
        <f t="shared" si="19"/>
        <v/>
      </c>
      <c r="W61" s="13" t="str">
        <f t="shared" si="15"/>
        <v/>
      </c>
    </row>
    <row r="62" spans="1:23" x14ac:dyDescent="0.25">
      <c r="A62" s="1363">
        <v>0.57999999999999996</v>
      </c>
      <c r="B62" s="13">
        <f t="shared" si="3"/>
        <v>4.5999999999999999E-2</v>
      </c>
      <c r="C62" s="1364">
        <f t="shared" si="17"/>
        <v>80.599999999999994</v>
      </c>
      <c r="D62" s="1431">
        <f>B62*'Рейтинг МКД'!$D$11+'кривые-экспресс'!C62+IF('Рейтинг МКД'!$D$15="нет",7,10)</f>
        <v>354.52499999999998</v>
      </c>
      <c r="E62" s="1431" t="str">
        <f t="shared" si="4"/>
        <v/>
      </c>
      <c r="F62" s="1364" t="str">
        <f t="shared" si="5"/>
        <v/>
      </c>
      <c r="G62" s="1364" t="str">
        <f t="shared" si="6"/>
        <v/>
      </c>
      <c r="H62" s="1364" t="str">
        <f t="shared" si="7"/>
        <v/>
      </c>
      <c r="I62" s="1364" t="str">
        <f t="shared" si="8"/>
        <v/>
      </c>
      <c r="J62" s="1364" t="str">
        <f t="shared" si="9"/>
        <v/>
      </c>
      <c r="K62" s="1364" t="str">
        <f t="shared" si="10"/>
        <v/>
      </c>
      <c r="L62" s="1364">
        <f t="shared" si="11"/>
        <v>354.52499999999998</v>
      </c>
      <c r="M62" s="1364" t="str">
        <f t="shared" si="12"/>
        <v/>
      </c>
      <c r="N62" s="13">
        <f t="shared" si="21"/>
        <v>1.9823257080610023E-2</v>
      </c>
      <c r="O62" s="13">
        <f t="shared" si="21"/>
        <v>138.46648284313724</v>
      </c>
      <c r="P62" s="13">
        <f t="shared" si="21"/>
        <v>272.20242034313725</v>
      </c>
      <c r="Q62" s="13">
        <f t="shared" si="21"/>
        <v>7.929302832244009E-3</v>
      </c>
      <c r="R62" s="13">
        <f t="shared" si="21"/>
        <v>55.386593137254899</v>
      </c>
      <c r="S62" s="13">
        <f t="shared" si="21"/>
        <v>114.88096813725491</v>
      </c>
      <c r="U62" s="13" t="str">
        <f t="shared" si="18"/>
        <v/>
      </c>
      <c r="V62" s="13" t="str">
        <f t="shared" si="19"/>
        <v/>
      </c>
      <c r="W62" s="13" t="str">
        <f t="shared" si="15"/>
        <v/>
      </c>
    </row>
    <row r="63" spans="1:23" x14ac:dyDescent="0.25">
      <c r="A63" s="1363">
        <v>0.59</v>
      </c>
      <c r="B63" s="13">
        <f t="shared" si="3"/>
        <v>4.7E-2</v>
      </c>
      <c r="C63" s="1364">
        <f t="shared" si="17"/>
        <v>83</v>
      </c>
      <c r="D63" s="1431">
        <f>B63*'Рейтинг МКД'!$D$11+'кривые-экспресс'!C63+IF('Рейтинг МКД'!$D$15="нет",7,10)</f>
        <v>362.66250000000002</v>
      </c>
      <c r="E63" s="1431" t="str">
        <f t="shared" si="4"/>
        <v/>
      </c>
      <c r="F63" s="1364" t="str">
        <f t="shared" si="5"/>
        <v/>
      </c>
      <c r="G63" s="1364" t="str">
        <f t="shared" si="6"/>
        <v/>
      </c>
      <c r="H63" s="1364" t="str">
        <f t="shared" si="7"/>
        <v/>
      </c>
      <c r="I63" s="1364" t="str">
        <f t="shared" si="8"/>
        <v/>
      </c>
      <c r="J63" s="1364" t="str">
        <f t="shared" si="9"/>
        <v/>
      </c>
      <c r="K63" s="1364" t="str">
        <f t="shared" si="10"/>
        <v/>
      </c>
      <c r="L63" s="1364">
        <f t="shared" si="11"/>
        <v>362.66250000000002</v>
      </c>
      <c r="M63" s="1364" t="str">
        <f t="shared" si="12"/>
        <v/>
      </c>
      <c r="N63" s="13">
        <f t="shared" si="21"/>
        <v>1.9823257080610023E-2</v>
      </c>
      <c r="O63" s="13">
        <f t="shared" si="21"/>
        <v>138.46648284313724</v>
      </c>
      <c r="P63" s="13">
        <f t="shared" si="21"/>
        <v>272.20242034313725</v>
      </c>
      <c r="Q63" s="13">
        <f t="shared" si="21"/>
        <v>7.929302832244009E-3</v>
      </c>
      <c r="R63" s="13">
        <f t="shared" si="21"/>
        <v>55.386593137254899</v>
      </c>
      <c r="S63" s="13">
        <f t="shared" si="21"/>
        <v>114.88096813725491</v>
      </c>
      <c r="U63" s="13" t="str">
        <f t="shared" si="18"/>
        <v/>
      </c>
      <c r="V63" s="13" t="str">
        <f t="shared" si="19"/>
        <v/>
      </c>
      <c r="W63" s="13" t="str">
        <f t="shared" si="15"/>
        <v/>
      </c>
    </row>
    <row r="64" spans="1:23" x14ac:dyDescent="0.25">
      <c r="A64" s="1363">
        <v>0.6</v>
      </c>
      <c r="B64" s="13">
        <f t="shared" si="3"/>
        <v>4.7E-2</v>
      </c>
      <c r="C64" s="1364">
        <f t="shared" si="17"/>
        <v>83</v>
      </c>
      <c r="D64" s="1431">
        <f>B64*'Рейтинг МКД'!$D$11+'кривые-экспресс'!C64+IF('Рейтинг МКД'!$D$15="нет",7,10)</f>
        <v>362.66250000000002</v>
      </c>
      <c r="E64" s="1431" t="str">
        <f t="shared" si="4"/>
        <v/>
      </c>
      <c r="F64" s="1364" t="str">
        <f t="shared" si="5"/>
        <v/>
      </c>
      <c r="G64" s="1364" t="str">
        <f t="shared" si="6"/>
        <v/>
      </c>
      <c r="H64" s="1364" t="str">
        <f t="shared" si="7"/>
        <v/>
      </c>
      <c r="I64" s="1364" t="str">
        <f t="shared" si="8"/>
        <v/>
      </c>
      <c r="J64" s="1364" t="str">
        <f t="shared" si="9"/>
        <v/>
      </c>
      <c r="K64" s="1364" t="str">
        <f t="shared" si="10"/>
        <v/>
      </c>
      <c r="L64" s="1364">
        <f t="shared" si="11"/>
        <v>362.66250000000002</v>
      </c>
      <c r="M64" s="1364" t="str">
        <f t="shared" si="12"/>
        <v/>
      </c>
      <c r="N64" s="13">
        <f t="shared" si="21"/>
        <v>1.9823257080610023E-2</v>
      </c>
      <c r="O64" s="13">
        <f t="shared" si="21"/>
        <v>138.46648284313724</v>
      </c>
      <c r="P64" s="13">
        <f t="shared" si="21"/>
        <v>272.20242034313725</v>
      </c>
      <c r="Q64" s="13">
        <f t="shared" si="21"/>
        <v>7.929302832244009E-3</v>
      </c>
      <c r="R64" s="13">
        <f t="shared" si="21"/>
        <v>55.386593137254899</v>
      </c>
      <c r="S64" s="13">
        <f t="shared" si="21"/>
        <v>114.88096813725491</v>
      </c>
      <c r="U64" s="13" t="str">
        <f t="shared" si="18"/>
        <v/>
      </c>
      <c r="V64" s="13" t="str">
        <f t="shared" si="19"/>
        <v/>
      </c>
      <c r="W64" s="13" t="str">
        <f t="shared" si="15"/>
        <v/>
      </c>
    </row>
    <row r="65" spans="1:23" x14ac:dyDescent="0.25">
      <c r="A65" s="1363">
        <v>0.61</v>
      </c>
      <c r="B65" s="13">
        <f t="shared" si="3"/>
        <v>4.7E-2</v>
      </c>
      <c r="C65" s="1364">
        <f t="shared" si="17"/>
        <v>84.9</v>
      </c>
      <c r="D65" s="1431">
        <f>B65*'Рейтинг МКД'!$D$11+'кривые-экспресс'!C65+IF('Рейтинг МКД'!$D$15="нет",7,10)</f>
        <v>364.5625</v>
      </c>
      <c r="E65" s="1431" t="str">
        <f t="shared" si="4"/>
        <v/>
      </c>
      <c r="F65" s="1364" t="str">
        <f t="shared" si="5"/>
        <v/>
      </c>
      <c r="G65" s="1364" t="str">
        <f t="shared" si="6"/>
        <v/>
      </c>
      <c r="H65" s="1364" t="str">
        <f t="shared" si="7"/>
        <v/>
      </c>
      <c r="I65" s="1364" t="str">
        <f t="shared" si="8"/>
        <v/>
      </c>
      <c r="J65" s="1364" t="str">
        <f t="shared" si="9"/>
        <v/>
      </c>
      <c r="K65" s="1364" t="str">
        <f t="shared" si="10"/>
        <v/>
      </c>
      <c r="L65" s="1364">
        <f t="shared" si="11"/>
        <v>364.5625</v>
      </c>
      <c r="M65" s="1364" t="str">
        <f t="shared" si="12"/>
        <v/>
      </c>
      <c r="N65" s="13">
        <f t="shared" si="21"/>
        <v>1.9823257080610023E-2</v>
      </c>
      <c r="O65" s="13">
        <f t="shared" si="21"/>
        <v>138.46648284313724</v>
      </c>
      <c r="P65" s="13">
        <f t="shared" si="21"/>
        <v>272.20242034313725</v>
      </c>
      <c r="Q65" s="13">
        <f t="shared" si="21"/>
        <v>7.929302832244009E-3</v>
      </c>
      <c r="R65" s="13">
        <f t="shared" si="21"/>
        <v>55.386593137254899</v>
      </c>
      <c r="S65" s="13">
        <f t="shared" si="21"/>
        <v>114.88096813725491</v>
      </c>
      <c r="U65" s="13" t="str">
        <f t="shared" si="18"/>
        <v/>
      </c>
      <c r="V65" s="13" t="str">
        <f t="shared" si="19"/>
        <v/>
      </c>
      <c r="W65" s="13" t="str">
        <f t="shared" si="15"/>
        <v/>
      </c>
    </row>
    <row r="66" spans="1:23" x14ac:dyDescent="0.25">
      <c r="A66" s="1363">
        <v>0.62</v>
      </c>
      <c r="B66" s="13">
        <f t="shared" si="3"/>
        <v>4.7E-2</v>
      </c>
      <c r="C66" s="1364">
        <f t="shared" si="17"/>
        <v>84.9</v>
      </c>
      <c r="D66" s="1431">
        <f>B66*'Рейтинг МКД'!$D$11+'кривые-экспресс'!C66+IF('Рейтинг МКД'!$D$15="нет",7,10)</f>
        <v>364.5625</v>
      </c>
      <c r="E66" s="1431" t="str">
        <f t="shared" si="4"/>
        <v/>
      </c>
      <c r="F66" s="1364" t="str">
        <f t="shared" si="5"/>
        <v/>
      </c>
      <c r="G66" s="1364" t="str">
        <f t="shared" si="6"/>
        <v/>
      </c>
      <c r="H66" s="1364" t="str">
        <f t="shared" si="7"/>
        <v/>
      </c>
      <c r="I66" s="1364" t="str">
        <f t="shared" si="8"/>
        <v/>
      </c>
      <c r="J66" s="1364" t="str">
        <f t="shared" si="9"/>
        <v/>
      </c>
      <c r="K66" s="1364" t="str">
        <f t="shared" si="10"/>
        <v/>
      </c>
      <c r="L66" s="1364">
        <f t="shared" si="11"/>
        <v>364.5625</v>
      </c>
      <c r="M66" s="1364" t="str">
        <f t="shared" si="12"/>
        <v/>
      </c>
      <c r="N66" s="13">
        <f t="shared" si="21"/>
        <v>1.9823257080610023E-2</v>
      </c>
      <c r="O66" s="13">
        <f t="shared" si="21"/>
        <v>138.46648284313724</v>
      </c>
      <c r="P66" s="13">
        <f t="shared" si="21"/>
        <v>272.20242034313725</v>
      </c>
      <c r="Q66" s="13">
        <f t="shared" si="21"/>
        <v>7.929302832244009E-3</v>
      </c>
      <c r="R66" s="13">
        <f t="shared" si="21"/>
        <v>55.386593137254899</v>
      </c>
      <c r="S66" s="13">
        <f t="shared" si="21"/>
        <v>114.88096813725491</v>
      </c>
      <c r="U66" s="13" t="str">
        <f t="shared" si="18"/>
        <v/>
      </c>
      <c r="V66" s="13" t="str">
        <f t="shared" si="19"/>
        <v/>
      </c>
      <c r="W66" s="13" t="str">
        <f t="shared" si="15"/>
        <v/>
      </c>
    </row>
    <row r="67" spans="1:23" x14ac:dyDescent="0.25">
      <c r="A67" s="1363">
        <v>0.63</v>
      </c>
      <c r="B67" s="13">
        <f t="shared" si="3"/>
        <v>4.8000000000000001E-2</v>
      </c>
      <c r="C67" s="1364">
        <f t="shared" si="17"/>
        <v>86.4</v>
      </c>
      <c r="D67" s="1431">
        <f>B67*'Рейтинг МКД'!$D$11+'кривые-экспресс'!C67+IF('Рейтинг МКД'!$D$15="нет",7,10)</f>
        <v>371.80000000000007</v>
      </c>
      <c r="E67" s="1431" t="str">
        <f t="shared" si="4"/>
        <v/>
      </c>
      <c r="F67" s="1364" t="str">
        <f t="shared" si="5"/>
        <v/>
      </c>
      <c r="G67" s="1364" t="str">
        <f t="shared" si="6"/>
        <v/>
      </c>
      <c r="H67" s="1364" t="str">
        <f t="shared" si="7"/>
        <v/>
      </c>
      <c r="I67" s="1364" t="str">
        <f t="shared" si="8"/>
        <v/>
      </c>
      <c r="J67" s="1364" t="str">
        <f t="shared" si="9"/>
        <v/>
      </c>
      <c r="K67" s="1364" t="str">
        <f t="shared" si="10"/>
        <v/>
      </c>
      <c r="L67" s="1364">
        <f t="shared" si="11"/>
        <v>371.80000000000007</v>
      </c>
      <c r="M67" s="1364" t="str">
        <f t="shared" si="12"/>
        <v/>
      </c>
      <c r="N67" s="13">
        <f t="shared" si="21"/>
        <v>1.9823257080610023E-2</v>
      </c>
      <c r="O67" s="13">
        <f t="shared" si="21"/>
        <v>138.46648284313724</v>
      </c>
      <c r="P67" s="13">
        <f t="shared" si="21"/>
        <v>272.20242034313725</v>
      </c>
      <c r="Q67" s="13">
        <f t="shared" si="21"/>
        <v>7.929302832244009E-3</v>
      </c>
      <c r="R67" s="13">
        <f t="shared" si="21"/>
        <v>55.386593137254899</v>
      </c>
      <c r="S67" s="13">
        <f t="shared" si="21"/>
        <v>114.88096813725491</v>
      </c>
      <c r="U67" s="13" t="str">
        <f t="shared" si="18"/>
        <v/>
      </c>
      <c r="V67" s="13" t="str">
        <f t="shared" si="19"/>
        <v/>
      </c>
      <c r="W67" s="13" t="str">
        <f t="shared" si="15"/>
        <v/>
      </c>
    </row>
    <row r="68" spans="1:23" x14ac:dyDescent="0.25">
      <c r="A68" s="1363">
        <v>0.64</v>
      </c>
      <c r="B68" s="13">
        <f t="shared" si="3"/>
        <v>4.8000000000000001E-2</v>
      </c>
      <c r="C68" s="1364">
        <f t="shared" si="17"/>
        <v>86.4</v>
      </c>
      <c r="D68" s="1431">
        <f>B68*'Рейтинг МКД'!$D$11+'кривые-экспресс'!C68+IF('Рейтинг МКД'!$D$15="нет",7,10)</f>
        <v>371.80000000000007</v>
      </c>
      <c r="E68" s="1431" t="str">
        <f t="shared" si="4"/>
        <v/>
      </c>
      <c r="F68" s="1364" t="str">
        <f t="shared" si="5"/>
        <v/>
      </c>
      <c r="G68" s="1364" t="str">
        <f t="shared" si="6"/>
        <v/>
      </c>
      <c r="H68" s="1364" t="str">
        <f t="shared" si="7"/>
        <v/>
      </c>
      <c r="I68" s="1364" t="str">
        <f t="shared" si="8"/>
        <v/>
      </c>
      <c r="J68" s="1364" t="str">
        <f t="shared" si="9"/>
        <v/>
      </c>
      <c r="K68" s="1364" t="str">
        <f t="shared" si="10"/>
        <v/>
      </c>
      <c r="L68" s="1364">
        <f t="shared" si="11"/>
        <v>371.80000000000007</v>
      </c>
      <c r="M68" s="1364" t="str">
        <f t="shared" si="12"/>
        <v/>
      </c>
      <c r="N68" s="13">
        <f t="shared" si="21"/>
        <v>1.9823257080610023E-2</v>
      </c>
      <c r="O68" s="13">
        <f t="shared" si="21"/>
        <v>138.46648284313724</v>
      </c>
      <c r="P68" s="13">
        <f t="shared" si="21"/>
        <v>272.20242034313725</v>
      </c>
      <c r="Q68" s="13">
        <f t="shared" si="21"/>
        <v>7.929302832244009E-3</v>
      </c>
      <c r="R68" s="13">
        <f t="shared" si="21"/>
        <v>55.386593137254899</v>
      </c>
      <c r="S68" s="13">
        <f t="shared" si="21"/>
        <v>114.88096813725491</v>
      </c>
      <c r="U68" s="13" t="str">
        <f t="shared" si="18"/>
        <v/>
      </c>
      <c r="V68" s="13" t="str">
        <f t="shared" si="19"/>
        <v/>
      </c>
      <c r="W68" s="13" t="str">
        <f t="shared" si="15"/>
        <v/>
      </c>
    </row>
    <row r="69" spans="1:23" x14ac:dyDescent="0.25">
      <c r="A69" s="1363">
        <v>0.65</v>
      </c>
      <c r="B69" s="13">
        <f t="shared" si="3"/>
        <v>4.9000000000000002E-2</v>
      </c>
      <c r="C69" s="1364">
        <f t="shared" ref="C69:C100" si="22">$B$106*B277+$C$106*C277+$D$106*D277+$E$106*E277+$F$106*F277+$G$106*G277+$H$106*H277+$I$106*I277+$J$106*J277+$K$106*K277+$L$106*L277+$M$106*M277</f>
        <v>87.9</v>
      </c>
      <c r="D69" s="1431">
        <f>B69*'Рейтинг МКД'!$D$11+'кривые-экспресс'!C69+IF('Рейтинг МКД'!$D$15="нет",7,10)</f>
        <v>379.03750000000002</v>
      </c>
      <c r="E69" s="1431" t="str">
        <f t="shared" si="4"/>
        <v/>
      </c>
      <c r="F69" s="1364" t="str">
        <f t="shared" si="5"/>
        <v/>
      </c>
      <c r="G69" s="1364" t="str">
        <f t="shared" si="6"/>
        <v/>
      </c>
      <c r="H69" s="1364" t="str">
        <f t="shared" si="7"/>
        <v/>
      </c>
      <c r="I69" s="1364" t="str">
        <f t="shared" si="8"/>
        <v/>
      </c>
      <c r="J69" s="1364" t="str">
        <f t="shared" si="9"/>
        <v/>
      </c>
      <c r="K69" s="1364" t="str">
        <f t="shared" si="10"/>
        <v/>
      </c>
      <c r="L69" s="1364">
        <f t="shared" si="11"/>
        <v>379.03750000000002</v>
      </c>
      <c r="M69" s="1364" t="str">
        <f t="shared" si="12"/>
        <v/>
      </c>
      <c r="N69" s="13">
        <f t="shared" si="21"/>
        <v>1.9823257080610023E-2</v>
      </c>
      <c r="O69" s="13">
        <f t="shared" si="21"/>
        <v>138.46648284313724</v>
      </c>
      <c r="P69" s="13">
        <f t="shared" si="21"/>
        <v>272.20242034313725</v>
      </c>
      <c r="Q69" s="13">
        <f t="shared" si="21"/>
        <v>7.929302832244009E-3</v>
      </c>
      <c r="R69" s="13">
        <f t="shared" si="21"/>
        <v>55.386593137254899</v>
      </c>
      <c r="S69" s="13">
        <f t="shared" si="21"/>
        <v>114.88096813725491</v>
      </c>
      <c r="U69" s="13" t="str">
        <f t="shared" ref="U69:U103" si="23">IF(AND($U$3&gt;=B69,$U$3&lt;B70),$U$3,"")</f>
        <v/>
      </c>
      <c r="V69" s="13" t="str">
        <f t="shared" ref="V69:V103" si="24">IF(AND($V$3&gt;=C69,$V$3&lt;C70),$V$3,"")</f>
        <v/>
      </c>
      <c r="W69" s="13" t="str">
        <f t="shared" si="15"/>
        <v/>
      </c>
    </row>
    <row r="70" spans="1:23" x14ac:dyDescent="0.25">
      <c r="A70" s="1363">
        <v>0.66</v>
      </c>
      <c r="B70" s="13">
        <f t="shared" ref="B70:B104" si="25">$B$106*B173+$C$106*C173+$D$106*D173+$E$106*E173+$F$106*F173+$G$106*G173+$H$106*H173+$I$106*I173+$J$106*J173+$K$106*K173+$L$106*L173+$M$106*M173</f>
        <v>4.9000000000000002E-2</v>
      </c>
      <c r="C70" s="1364">
        <f t="shared" si="22"/>
        <v>87.9</v>
      </c>
      <c r="D70" s="1431">
        <f>B70*'Рейтинг МКД'!$D$11+'кривые-экспресс'!C70+IF('Рейтинг МКД'!$D$15="нет",7,10)</f>
        <v>379.03750000000002</v>
      </c>
      <c r="E70" s="1431" t="str">
        <f t="shared" ref="E70:E104" si="26">IF(D70&lt;=$N$423,D70,"")</f>
        <v/>
      </c>
      <c r="F70" s="1364" t="str">
        <f t="shared" ref="F70:F104" si="27">IF(AND($D70&lt;=$N$424,$D70&gt;$N$423),$D70,"")</f>
        <v/>
      </c>
      <c r="G70" s="1364" t="str">
        <f t="shared" ref="G70:G104" si="28">IF(AND($D70&lt;=$N$425,$D70&gt;$N$424),$D70,"")</f>
        <v/>
      </c>
      <c r="H70" s="1364" t="str">
        <f t="shared" ref="H70:H104" si="29">IF(AND($D70&lt;=$N$426,$D70&gt;$N$425),$D70,"")</f>
        <v/>
      </c>
      <c r="I70" s="1364" t="str">
        <f t="shared" ref="I70:I104" si="30">IF(AND($D70&lt;=$N$427,$D70&gt;$N$426),$D70,"")</f>
        <v/>
      </c>
      <c r="J70" s="1364" t="str">
        <f t="shared" ref="J70:J104" si="31">IF(AND($D70&lt;=$N$428,$D70&gt;$N$427),$D70,"")</f>
        <v/>
      </c>
      <c r="K70" s="1364" t="str">
        <f t="shared" ref="K70:K104" si="32">IF(AND($D70&lt;=$N$429,$D70&gt;$N$428),$D70,"")</f>
        <v/>
      </c>
      <c r="L70" s="1364">
        <f t="shared" ref="L70:L104" si="33">IF(AND($D70&lt;=$N$430,$D70&gt;$N$429),$D70,"")</f>
        <v>379.03750000000002</v>
      </c>
      <c r="M70" s="1364" t="str">
        <f t="shared" ref="M70:M104" si="34">IF(AND($D70&gt;$N$430),$D70,"")</f>
        <v/>
      </c>
      <c r="N70" s="13">
        <f t="shared" si="21"/>
        <v>1.9823257080610023E-2</v>
      </c>
      <c r="O70" s="13">
        <f t="shared" si="21"/>
        <v>138.46648284313724</v>
      </c>
      <c r="P70" s="13">
        <f t="shared" si="21"/>
        <v>272.20242034313725</v>
      </c>
      <c r="Q70" s="13">
        <f t="shared" si="21"/>
        <v>7.929302832244009E-3</v>
      </c>
      <c r="R70" s="13">
        <f t="shared" si="21"/>
        <v>55.386593137254899</v>
      </c>
      <c r="S70" s="13">
        <f t="shared" si="21"/>
        <v>114.88096813725491</v>
      </c>
      <c r="U70" s="13" t="str">
        <f t="shared" si="23"/>
        <v/>
      </c>
      <c r="V70" s="13" t="str">
        <f t="shared" si="24"/>
        <v/>
      </c>
      <c r="W70" s="13" t="str">
        <f t="shared" si="15"/>
        <v/>
      </c>
    </row>
    <row r="71" spans="1:23" x14ac:dyDescent="0.25">
      <c r="A71" s="1363">
        <v>0.67</v>
      </c>
      <c r="B71" s="13">
        <f t="shared" si="25"/>
        <v>4.9000000000000002E-2</v>
      </c>
      <c r="C71" s="1364">
        <f t="shared" si="22"/>
        <v>89.6</v>
      </c>
      <c r="D71" s="1431">
        <f>B71*'Рейтинг МКД'!$D$11+'кривые-экспресс'!C71+IF('Рейтинг МКД'!$D$15="нет",7,10)</f>
        <v>380.73749999999995</v>
      </c>
      <c r="E71" s="1431" t="str">
        <f t="shared" si="26"/>
        <v/>
      </c>
      <c r="F71" s="1364" t="str">
        <f t="shared" si="27"/>
        <v/>
      </c>
      <c r="G71" s="1364" t="str">
        <f t="shared" si="28"/>
        <v/>
      </c>
      <c r="H71" s="1364" t="str">
        <f t="shared" si="29"/>
        <v/>
      </c>
      <c r="I71" s="1364" t="str">
        <f t="shared" si="30"/>
        <v/>
      </c>
      <c r="J71" s="1364" t="str">
        <f t="shared" si="31"/>
        <v/>
      </c>
      <c r="K71" s="1364" t="str">
        <f t="shared" si="32"/>
        <v/>
      </c>
      <c r="L71" s="1364">
        <f t="shared" si="33"/>
        <v>380.73749999999995</v>
      </c>
      <c r="M71" s="1364" t="str">
        <f t="shared" si="34"/>
        <v/>
      </c>
      <c r="N71" s="13">
        <f t="shared" ref="N71:S86" si="35">N70</f>
        <v>1.9823257080610023E-2</v>
      </c>
      <c r="O71" s="13">
        <f t="shared" si="35"/>
        <v>138.46648284313724</v>
      </c>
      <c r="P71" s="13">
        <f t="shared" si="35"/>
        <v>272.20242034313725</v>
      </c>
      <c r="Q71" s="13">
        <f t="shared" si="35"/>
        <v>7.929302832244009E-3</v>
      </c>
      <c r="R71" s="13">
        <f t="shared" si="35"/>
        <v>55.386593137254899</v>
      </c>
      <c r="S71" s="13">
        <f t="shared" si="35"/>
        <v>114.88096813725491</v>
      </c>
      <c r="U71" s="13" t="str">
        <f t="shared" si="23"/>
        <v/>
      </c>
      <c r="V71" s="13" t="str">
        <f t="shared" si="24"/>
        <v/>
      </c>
      <c r="W71" s="13" t="str">
        <f t="shared" ref="W71:W103" si="36">IF(AND($W$3&gt;=SUM(E71:M71),$W$3&lt;SUM(E72:M72)),$W$3,"")</f>
        <v/>
      </c>
    </row>
    <row r="72" spans="1:23" x14ac:dyDescent="0.25">
      <c r="A72" s="1363">
        <v>0.68</v>
      </c>
      <c r="B72" s="13">
        <f t="shared" si="25"/>
        <v>4.9000000000000002E-2</v>
      </c>
      <c r="C72" s="1364">
        <f t="shared" si="22"/>
        <v>89.6</v>
      </c>
      <c r="D72" s="1431">
        <f>B72*'Рейтинг МКД'!$D$11+'кривые-экспресс'!C72+IF('Рейтинг МКД'!$D$15="нет",7,10)</f>
        <v>380.73749999999995</v>
      </c>
      <c r="E72" s="1431" t="str">
        <f t="shared" si="26"/>
        <v/>
      </c>
      <c r="F72" s="1364" t="str">
        <f t="shared" si="27"/>
        <v/>
      </c>
      <c r="G72" s="1364" t="str">
        <f t="shared" si="28"/>
        <v/>
      </c>
      <c r="H72" s="1364" t="str">
        <f t="shared" si="29"/>
        <v/>
      </c>
      <c r="I72" s="1364" t="str">
        <f t="shared" si="30"/>
        <v/>
      </c>
      <c r="J72" s="1364" t="str">
        <f t="shared" si="31"/>
        <v/>
      </c>
      <c r="K72" s="1364" t="str">
        <f t="shared" si="32"/>
        <v/>
      </c>
      <c r="L72" s="1364">
        <f t="shared" si="33"/>
        <v>380.73749999999995</v>
      </c>
      <c r="M72" s="1364" t="str">
        <f t="shared" si="34"/>
        <v/>
      </c>
      <c r="N72" s="13">
        <f t="shared" si="35"/>
        <v>1.9823257080610023E-2</v>
      </c>
      <c r="O72" s="13">
        <f t="shared" si="35"/>
        <v>138.46648284313724</v>
      </c>
      <c r="P72" s="13">
        <f t="shared" si="35"/>
        <v>272.20242034313725</v>
      </c>
      <c r="Q72" s="13">
        <f t="shared" si="35"/>
        <v>7.929302832244009E-3</v>
      </c>
      <c r="R72" s="13">
        <f t="shared" si="35"/>
        <v>55.386593137254899</v>
      </c>
      <c r="S72" s="13">
        <f t="shared" si="35"/>
        <v>114.88096813725491</v>
      </c>
      <c r="U72" s="13" t="str">
        <f t="shared" si="23"/>
        <v/>
      </c>
      <c r="V72" s="13" t="str">
        <f t="shared" si="24"/>
        <v/>
      </c>
      <c r="W72" s="13" t="str">
        <f t="shared" si="36"/>
        <v/>
      </c>
    </row>
    <row r="73" spans="1:23" x14ac:dyDescent="0.25">
      <c r="A73" s="1363">
        <v>0.69</v>
      </c>
      <c r="B73" s="13">
        <f t="shared" si="25"/>
        <v>0.05</v>
      </c>
      <c r="C73" s="1364">
        <f t="shared" si="22"/>
        <v>91.3</v>
      </c>
      <c r="D73" s="1431">
        <f>B73*'Рейтинг МКД'!$D$11+'кривые-экспресс'!C73+IF('Рейтинг МКД'!$D$15="нет",7,10)</f>
        <v>388.17500000000001</v>
      </c>
      <c r="E73" s="1431" t="str">
        <f t="shared" si="26"/>
        <v/>
      </c>
      <c r="F73" s="1364" t="str">
        <f t="shared" si="27"/>
        <v/>
      </c>
      <c r="G73" s="1364" t="str">
        <f t="shared" si="28"/>
        <v/>
      </c>
      <c r="H73" s="1364" t="str">
        <f t="shared" si="29"/>
        <v/>
      </c>
      <c r="I73" s="1364" t="str">
        <f t="shared" si="30"/>
        <v/>
      </c>
      <c r="J73" s="1364" t="str">
        <f t="shared" si="31"/>
        <v/>
      </c>
      <c r="K73" s="1364" t="str">
        <f t="shared" si="32"/>
        <v/>
      </c>
      <c r="L73" s="1364">
        <f t="shared" si="33"/>
        <v>388.17500000000001</v>
      </c>
      <c r="M73" s="1364" t="str">
        <f t="shared" si="34"/>
        <v/>
      </c>
      <c r="N73" s="13">
        <f t="shared" si="35"/>
        <v>1.9823257080610023E-2</v>
      </c>
      <c r="O73" s="13">
        <f t="shared" si="35"/>
        <v>138.46648284313724</v>
      </c>
      <c r="P73" s="13">
        <f t="shared" si="35"/>
        <v>272.20242034313725</v>
      </c>
      <c r="Q73" s="13">
        <f t="shared" si="35"/>
        <v>7.929302832244009E-3</v>
      </c>
      <c r="R73" s="13">
        <f t="shared" si="35"/>
        <v>55.386593137254899</v>
      </c>
      <c r="S73" s="13">
        <f t="shared" si="35"/>
        <v>114.88096813725491</v>
      </c>
      <c r="U73" s="13" t="str">
        <f t="shared" si="23"/>
        <v/>
      </c>
      <c r="V73" s="13" t="str">
        <f t="shared" si="24"/>
        <v/>
      </c>
      <c r="W73" s="13" t="str">
        <f t="shared" si="36"/>
        <v/>
      </c>
    </row>
    <row r="74" spans="1:23" x14ac:dyDescent="0.25">
      <c r="A74" s="1363">
        <v>0.7</v>
      </c>
      <c r="B74" s="13">
        <f t="shared" si="25"/>
        <v>0.05</v>
      </c>
      <c r="C74" s="1364">
        <f t="shared" si="22"/>
        <v>91.3</v>
      </c>
      <c r="D74" s="1431">
        <f>B74*'Рейтинг МКД'!$D$11+'кривые-экспресс'!C74+IF('Рейтинг МКД'!$D$15="нет",7,10)</f>
        <v>388.17500000000001</v>
      </c>
      <c r="E74" s="1431" t="str">
        <f t="shared" si="26"/>
        <v/>
      </c>
      <c r="F74" s="1364" t="str">
        <f t="shared" si="27"/>
        <v/>
      </c>
      <c r="G74" s="1364" t="str">
        <f t="shared" si="28"/>
        <v/>
      </c>
      <c r="H74" s="1364" t="str">
        <f t="shared" si="29"/>
        <v/>
      </c>
      <c r="I74" s="1364" t="str">
        <f t="shared" si="30"/>
        <v/>
      </c>
      <c r="J74" s="1364" t="str">
        <f t="shared" si="31"/>
        <v/>
      </c>
      <c r="K74" s="1364" t="str">
        <f t="shared" si="32"/>
        <v/>
      </c>
      <c r="L74" s="1364">
        <f t="shared" si="33"/>
        <v>388.17500000000001</v>
      </c>
      <c r="M74" s="1364" t="str">
        <f t="shared" si="34"/>
        <v/>
      </c>
      <c r="N74" s="13">
        <f t="shared" si="35"/>
        <v>1.9823257080610023E-2</v>
      </c>
      <c r="O74" s="13">
        <f t="shared" si="35"/>
        <v>138.46648284313724</v>
      </c>
      <c r="P74" s="13">
        <f t="shared" si="35"/>
        <v>272.20242034313725</v>
      </c>
      <c r="Q74" s="13">
        <f t="shared" si="35"/>
        <v>7.929302832244009E-3</v>
      </c>
      <c r="R74" s="13">
        <f t="shared" si="35"/>
        <v>55.386593137254899</v>
      </c>
      <c r="S74" s="13">
        <f t="shared" si="35"/>
        <v>114.88096813725491</v>
      </c>
      <c r="U74" s="13" t="str">
        <f t="shared" si="23"/>
        <v/>
      </c>
      <c r="V74" s="13" t="str">
        <f t="shared" si="24"/>
        <v/>
      </c>
      <c r="W74" s="13" t="str">
        <f t="shared" si="36"/>
        <v/>
      </c>
    </row>
    <row r="75" spans="1:23" x14ac:dyDescent="0.25">
      <c r="A75" s="1363">
        <v>0.71</v>
      </c>
      <c r="B75" s="13">
        <f t="shared" si="25"/>
        <v>5.0999999999999997E-2</v>
      </c>
      <c r="C75" s="1364">
        <f t="shared" si="22"/>
        <v>92.7</v>
      </c>
      <c r="D75" s="1431">
        <f>B75*'Рейтинг МКД'!$D$11+'кривые-экспресс'!C75+IF('Рейтинг МКД'!$D$15="нет",7,10)</f>
        <v>395.31249999999994</v>
      </c>
      <c r="E75" s="1431" t="str">
        <f t="shared" si="26"/>
        <v/>
      </c>
      <c r="F75" s="1364" t="str">
        <f t="shared" si="27"/>
        <v/>
      </c>
      <c r="G75" s="1364" t="str">
        <f t="shared" si="28"/>
        <v/>
      </c>
      <c r="H75" s="1364" t="str">
        <f t="shared" si="29"/>
        <v/>
      </c>
      <c r="I75" s="1364" t="str">
        <f t="shared" si="30"/>
        <v/>
      </c>
      <c r="J75" s="1364" t="str">
        <f t="shared" si="31"/>
        <v/>
      </c>
      <c r="K75" s="1364" t="str">
        <f t="shared" si="32"/>
        <v/>
      </c>
      <c r="L75" s="1364" t="str">
        <f t="shared" si="33"/>
        <v/>
      </c>
      <c r="M75" s="1364">
        <f t="shared" si="34"/>
        <v>395.31249999999994</v>
      </c>
      <c r="N75" s="13">
        <f t="shared" si="35"/>
        <v>1.9823257080610023E-2</v>
      </c>
      <c r="O75" s="13">
        <f t="shared" si="35"/>
        <v>138.46648284313724</v>
      </c>
      <c r="P75" s="13">
        <f t="shared" si="35"/>
        <v>272.20242034313725</v>
      </c>
      <c r="Q75" s="13">
        <f t="shared" si="35"/>
        <v>7.929302832244009E-3</v>
      </c>
      <c r="R75" s="13">
        <f t="shared" si="35"/>
        <v>55.386593137254899</v>
      </c>
      <c r="S75" s="13">
        <f t="shared" si="35"/>
        <v>114.88096813725491</v>
      </c>
      <c r="U75" s="13" t="str">
        <f t="shared" si="23"/>
        <v/>
      </c>
      <c r="V75" s="13" t="str">
        <f t="shared" si="24"/>
        <v/>
      </c>
      <c r="W75" s="13" t="str">
        <f t="shared" si="36"/>
        <v/>
      </c>
    </row>
    <row r="76" spans="1:23" x14ac:dyDescent="0.25">
      <c r="A76" s="1363">
        <v>0.72</v>
      </c>
      <c r="B76" s="13">
        <f t="shared" si="25"/>
        <v>5.0999999999999997E-2</v>
      </c>
      <c r="C76" s="1364">
        <f t="shared" si="22"/>
        <v>92.7</v>
      </c>
      <c r="D76" s="1431">
        <f>B76*'Рейтинг МКД'!$D$11+'кривые-экспресс'!C76+IF('Рейтинг МКД'!$D$15="нет",7,10)</f>
        <v>395.31249999999994</v>
      </c>
      <c r="E76" s="1431" t="str">
        <f t="shared" si="26"/>
        <v/>
      </c>
      <c r="F76" s="1364" t="str">
        <f t="shared" si="27"/>
        <v/>
      </c>
      <c r="G76" s="1364" t="str">
        <f t="shared" si="28"/>
        <v/>
      </c>
      <c r="H76" s="1364" t="str">
        <f t="shared" si="29"/>
        <v/>
      </c>
      <c r="I76" s="1364" t="str">
        <f t="shared" si="30"/>
        <v/>
      </c>
      <c r="J76" s="1364" t="str">
        <f t="shared" si="31"/>
        <v/>
      </c>
      <c r="K76" s="1364" t="str">
        <f t="shared" si="32"/>
        <v/>
      </c>
      <c r="L76" s="1364" t="str">
        <f t="shared" si="33"/>
        <v/>
      </c>
      <c r="M76" s="1364">
        <f t="shared" si="34"/>
        <v>395.31249999999994</v>
      </c>
      <c r="N76" s="13">
        <f t="shared" si="35"/>
        <v>1.9823257080610023E-2</v>
      </c>
      <c r="O76" s="13">
        <f t="shared" si="35"/>
        <v>138.46648284313724</v>
      </c>
      <c r="P76" s="13">
        <f t="shared" si="35"/>
        <v>272.20242034313725</v>
      </c>
      <c r="Q76" s="13">
        <f t="shared" si="35"/>
        <v>7.929302832244009E-3</v>
      </c>
      <c r="R76" s="13">
        <f t="shared" si="35"/>
        <v>55.386593137254899</v>
      </c>
      <c r="S76" s="13">
        <f t="shared" si="35"/>
        <v>114.88096813725491</v>
      </c>
      <c r="U76" s="13" t="str">
        <f t="shared" si="23"/>
        <v/>
      </c>
      <c r="V76" s="13" t="str">
        <f t="shared" si="24"/>
        <v/>
      </c>
      <c r="W76" s="13" t="str">
        <f t="shared" si="36"/>
        <v/>
      </c>
    </row>
    <row r="77" spans="1:23" x14ac:dyDescent="0.25">
      <c r="A77" s="1363">
        <v>0.73</v>
      </c>
      <c r="B77" s="13">
        <f t="shared" si="25"/>
        <v>5.1999999999999998E-2</v>
      </c>
      <c r="C77" s="1364">
        <f t="shared" si="22"/>
        <v>94</v>
      </c>
      <c r="D77" s="1431">
        <f>B77*'Рейтинг МКД'!$D$11+'кривые-экспресс'!C77+IF('Рейтинг МКД'!$D$15="нет",7,10)</f>
        <v>402.34999999999997</v>
      </c>
      <c r="E77" s="1431" t="str">
        <f t="shared" si="26"/>
        <v/>
      </c>
      <c r="F77" s="1364" t="str">
        <f t="shared" si="27"/>
        <v/>
      </c>
      <c r="G77" s="1364" t="str">
        <f t="shared" si="28"/>
        <v/>
      </c>
      <c r="H77" s="1364" t="str">
        <f t="shared" si="29"/>
        <v/>
      </c>
      <c r="I77" s="1364" t="str">
        <f t="shared" si="30"/>
        <v/>
      </c>
      <c r="J77" s="1364" t="str">
        <f t="shared" si="31"/>
        <v/>
      </c>
      <c r="K77" s="1364" t="str">
        <f t="shared" si="32"/>
        <v/>
      </c>
      <c r="L77" s="1364" t="str">
        <f t="shared" si="33"/>
        <v/>
      </c>
      <c r="M77" s="1364">
        <f t="shared" si="34"/>
        <v>402.34999999999997</v>
      </c>
      <c r="N77" s="13">
        <f t="shared" si="35"/>
        <v>1.9823257080610023E-2</v>
      </c>
      <c r="O77" s="13">
        <f t="shared" si="35"/>
        <v>138.46648284313724</v>
      </c>
      <c r="P77" s="13">
        <f t="shared" si="35"/>
        <v>272.20242034313725</v>
      </c>
      <c r="Q77" s="13">
        <f t="shared" si="35"/>
        <v>7.929302832244009E-3</v>
      </c>
      <c r="R77" s="13">
        <f t="shared" si="35"/>
        <v>55.386593137254899</v>
      </c>
      <c r="S77" s="13">
        <f t="shared" si="35"/>
        <v>114.88096813725491</v>
      </c>
      <c r="U77" s="13" t="str">
        <f t="shared" si="23"/>
        <v/>
      </c>
      <c r="V77" s="13" t="str">
        <f t="shared" si="24"/>
        <v/>
      </c>
      <c r="W77" s="13" t="str">
        <f t="shared" si="36"/>
        <v/>
      </c>
    </row>
    <row r="78" spans="1:23" x14ac:dyDescent="0.25">
      <c r="A78" s="1363">
        <v>0.74</v>
      </c>
      <c r="B78" s="13">
        <f t="shared" si="25"/>
        <v>5.1999999999999998E-2</v>
      </c>
      <c r="C78" s="1364">
        <f t="shared" si="22"/>
        <v>94</v>
      </c>
      <c r="D78" s="1431">
        <f>B78*'Рейтинг МКД'!$D$11+'кривые-экспресс'!C78+IF('Рейтинг МКД'!$D$15="нет",7,10)</f>
        <v>402.34999999999997</v>
      </c>
      <c r="E78" s="1431" t="str">
        <f t="shared" si="26"/>
        <v/>
      </c>
      <c r="F78" s="1364" t="str">
        <f t="shared" si="27"/>
        <v/>
      </c>
      <c r="G78" s="1364" t="str">
        <f t="shared" si="28"/>
        <v/>
      </c>
      <c r="H78" s="1364" t="str">
        <f t="shared" si="29"/>
        <v/>
      </c>
      <c r="I78" s="1364" t="str">
        <f t="shared" si="30"/>
        <v/>
      </c>
      <c r="J78" s="1364" t="str">
        <f t="shared" si="31"/>
        <v/>
      </c>
      <c r="K78" s="1364" t="str">
        <f t="shared" si="32"/>
        <v/>
      </c>
      <c r="L78" s="1364" t="str">
        <f t="shared" si="33"/>
        <v/>
      </c>
      <c r="M78" s="1364">
        <f t="shared" si="34"/>
        <v>402.34999999999997</v>
      </c>
      <c r="N78" s="13">
        <f t="shared" si="35"/>
        <v>1.9823257080610023E-2</v>
      </c>
      <c r="O78" s="13">
        <f t="shared" si="35"/>
        <v>138.46648284313724</v>
      </c>
      <c r="P78" s="13">
        <f t="shared" si="35"/>
        <v>272.20242034313725</v>
      </c>
      <c r="Q78" s="13">
        <f t="shared" si="35"/>
        <v>7.929302832244009E-3</v>
      </c>
      <c r="R78" s="13">
        <f t="shared" si="35"/>
        <v>55.386593137254899</v>
      </c>
      <c r="S78" s="13">
        <f t="shared" si="35"/>
        <v>114.88096813725491</v>
      </c>
      <c r="U78" s="13" t="str">
        <f t="shared" si="23"/>
        <v/>
      </c>
      <c r="V78" s="13" t="str">
        <f t="shared" si="24"/>
        <v/>
      </c>
      <c r="W78" s="13" t="str">
        <f t="shared" si="36"/>
        <v/>
      </c>
    </row>
    <row r="79" spans="1:23" x14ac:dyDescent="0.25">
      <c r="A79" s="1363">
        <v>0.75</v>
      </c>
      <c r="B79" s="13">
        <f t="shared" si="25"/>
        <v>5.1999999999999998E-2</v>
      </c>
      <c r="C79" s="1364">
        <f t="shared" si="22"/>
        <v>95.7</v>
      </c>
      <c r="D79" s="1431">
        <f>B79*'Рейтинг МКД'!$D$11+'кривые-экспресс'!C79+IF('Рейтинг МКД'!$D$15="нет",7,10)</f>
        <v>404.04999999999995</v>
      </c>
      <c r="E79" s="1431" t="str">
        <f t="shared" si="26"/>
        <v/>
      </c>
      <c r="F79" s="1364" t="str">
        <f t="shared" si="27"/>
        <v/>
      </c>
      <c r="G79" s="1364" t="str">
        <f t="shared" si="28"/>
        <v/>
      </c>
      <c r="H79" s="1364" t="str">
        <f t="shared" si="29"/>
        <v/>
      </c>
      <c r="I79" s="1364" t="str">
        <f t="shared" si="30"/>
        <v/>
      </c>
      <c r="J79" s="1364" t="str">
        <f t="shared" si="31"/>
        <v/>
      </c>
      <c r="K79" s="1364" t="str">
        <f t="shared" si="32"/>
        <v/>
      </c>
      <c r="L79" s="1364" t="str">
        <f t="shared" si="33"/>
        <v/>
      </c>
      <c r="M79" s="1364">
        <f t="shared" si="34"/>
        <v>404.04999999999995</v>
      </c>
      <c r="N79" s="13">
        <f t="shared" si="35"/>
        <v>1.9823257080610023E-2</v>
      </c>
      <c r="O79" s="13">
        <f t="shared" si="35"/>
        <v>138.46648284313724</v>
      </c>
      <c r="P79" s="13">
        <f t="shared" si="35"/>
        <v>272.20242034313725</v>
      </c>
      <c r="Q79" s="13">
        <f t="shared" si="35"/>
        <v>7.929302832244009E-3</v>
      </c>
      <c r="R79" s="13">
        <f t="shared" si="35"/>
        <v>55.386593137254899</v>
      </c>
      <c r="S79" s="13">
        <f t="shared" si="35"/>
        <v>114.88096813725491</v>
      </c>
      <c r="U79" s="13" t="str">
        <f t="shared" si="23"/>
        <v/>
      </c>
      <c r="V79" s="13" t="str">
        <f t="shared" si="24"/>
        <v/>
      </c>
      <c r="W79" s="13" t="str">
        <f t="shared" si="36"/>
        <v/>
      </c>
    </row>
    <row r="80" spans="1:23" x14ac:dyDescent="0.25">
      <c r="A80" s="1363">
        <v>0.76</v>
      </c>
      <c r="B80" s="13">
        <f t="shared" si="25"/>
        <v>5.1999999999999998E-2</v>
      </c>
      <c r="C80" s="1364">
        <f t="shared" si="22"/>
        <v>95.7</v>
      </c>
      <c r="D80" s="1431">
        <f>B80*'Рейтинг МКД'!$D$11+'кривые-экспресс'!C80+IF('Рейтинг МКД'!$D$15="нет",7,10)</f>
        <v>404.04999999999995</v>
      </c>
      <c r="E80" s="1431" t="str">
        <f t="shared" si="26"/>
        <v/>
      </c>
      <c r="F80" s="1364" t="str">
        <f t="shared" si="27"/>
        <v/>
      </c>
      <c r="G80" s="1364" t="str">
        <f t="shared" si="28"/>
        <v/>
      </c>
      <c r="H80" s="1364" t="str">
        <f t="shared" si="29"/>
        <v/>
      </c>
      <c r="I80" s="1364" t="str">
        <f t="shared" si="30"/>
        <v/>
      </c>
      <c r="J80" s="1364" t="str">
        <f t="shared" si="31"/>
        <v/>
      </c>
      <c r="K80" s="1364" t="str">
        <f t="shared" si="32"/>
        <v/>
      </c>
      <c r="L80" s="1364" t="str">
        <f t="shared" si="33"/>
        <v/>
      </c>
      <c r="M80" s="1364">
        <f t="shared" si="34"/>
        <v>404.04999999999995</v>
      </c>
      <c r="N80" s="13">
        <f t="shared" si="35"/>
        <v>1.9823257080610023E-2</v>
      </c>
      <c r="O80" s="13">
        <f t="shared" si="35"/>
        <v>138.46648284313724</v>
      </c>
      <c r="P80" s="13">
        <f t="shared" si="35"/>
        <v>272.20242034313725</v>
      </c>
      <c r="Q80" s="13">
        <f t="shared" si="35"/>
        <v>7.929302832244009E-3</v>
      </c>
      <c r="R80" s="13">
        <f t="shared" si="35"/>
        <v>55.386593137254899</v>
      </c>
      <c r="S80" s="13">
        <f t="shared" si="35"/>
        <v>114.88096813725491</v>
      </c>
      <c r="U80" s="13" t="str">
        <f t="shared" si="23"/>
        <v/>
      </c>
      <c r="V80" s="13" t="str">
        <f t="shared" si="24"/>
        <v/>
      </c>
      <c r="W80" s="13" t="str">
        <f t="shared" si="36"/>
        <v/>
      </c>
    </row>
    <row r="81" spans="1:23" x14ac:dyDescent="0.25">
      <c r="A81" s="1363">
        <v>0.77</v>
      </c>
      <c r="B81" s="13">
        <f t="shared" si="25"/>
        <v>5.2999999999999999E-2</v>
      </c>
      <c r="C81" s="1364">
        <f t="shared" si="22"/>
        <v>97.4</v>
      </c>
      <c r="D81" s="1431">
        <f>B81*'Рейтинг МКД'!$D$11+'кривые-экспресс'!C81+IF('Рейтинг МКД'!$D$15="нет",7,10)</f>
        <v>411.48749999999995</v>
      </c>
      <c r="E81" s="1431" t="str">
        <f t="shared" si="26"/>
        <v/>
      </c>
      <c r="F81" s="1364" t="str">
        <f t="shared" si="27"/>
        <v/>
      </c>
      <c r="G81" s="1364" t="str">
        <f t="shared" si="28"/>
        <v/>
      </c>
      <c r="H81" s="1364" t="str">
        <f t="shared" si="29"/>
        <v/>
      </c>
      <c r="I81" s="1364" t="str">
        <f t="shared" si="30"/>
        <v/>
      </c>
      <c r="J81" s="1364" t="str">
        <f t="shared" si="31"/>
        <v/>
      </c>
      <c r="K81" s="1364" t="str">
        <f t="shared" si="32"/>
        <v/>
      </c>
      <c r="L81" s="1364" t="str">
        <f t="shared" si="33"/>
        <v/>
      </c>
      <c r="M81" s="1364">
        <f t="shared" si="34"/>
        <v>411.48749999999995</v>
      </c>
      <c r="N81" s="13">
        <f t="shared" si="35"/>
        <v>1.9823257080610023E-2</v>
      </c>
      <c r="O81" s="13">
        <f t="shared" si="35"/>
        <v>138.46648284313724</v>
      </c>
      <c r="P81" s="13">
        <f t="shared" si="35"/>
        <v>272.20242034313725</v>
      </c>
      <c r="Q81" s="13">
        <f t="shared" si="35"/>
        <v>7.929302832244009E-3</v>
      </c>
      <c r="R81" s="13">
        <f t="shared" si="35"/>
        <v>55.386593137254899</v>
      </c>
      <c r="S81" s="13">
        <f t="shared" si="35"/>
        <v>114.88096813725491</v>
      </c>
      <c r="U81" s="13" t="str">
        <f t="shared" si="23"/>
        <v/>
      </c>
      <c r="V81" s="13" t="str">
        <f t="shared" si="24"/>
        <v/>
      </c>
      <c r="W81" s="13" t="str">
        <f t="shared" si="36"/>
        <v/>
      </c>
    </row>
    <row r="82" spans="1:23" x14ac:dyDescent="0.25">
      <c r="A82" s="1363">
        <v>0.78</v>
      </c>
      <c r="B82" s="13">
        <f t="shared" si="25"/>
        <v>5.2999999999999999E-2</v>
      </c>
      <c r="C82" s="1364">
        <f t="shared" si="22"/>
        <v>97.4</v>
      </c>
      <c r="D82" s="1431">
        <f>B82*'Рейтинг МКД'!$D$11+'кривые-экспресс'!C82+IF('Рейтинг МКД'!$D$15="нет",7,10)</f>
        <v>411.48749999999995</v>
      </c>
      <c r="E82" s="1431" t="str">
        <f t="shared" si="26"/>
        <v/>
      </c>
      <c r="F82" s="1364" t="str">
        <f t="shared" si="27"/>
        <v/>
      </c>
      <c r="G82" s="1364" t="str">
        <f t="shared" si="28"/>
        <v/>
      </c>
      <c r="H82" s="1364" t="str">
        <f t="shared" si="29"/>
        <v/>
      </c>
      <c r="I82" s="1364" t="str">
        <f t="shared" si="30"/>
        <v/>
      </c>
      <c r="J82" s="1364" t="str">
        <f t="shared" si="31"/>
        <v/>
      </c>
      <c r="K82" s="1364" t="str">
        <f t="shared" si="32"/>
        <v/>
      </c>
      <c r="L82" s="1364" t="str">
        <f t="shared" si="33"/>
        <v/>
      </c>
      <c r="M82" s="1364">
        <f t="shared" si="34"/>
        <v>411.48749999999995</v>
      </c>
      <c r="N82" s="13">
        <f t="shared" si="35"/>
        <v>1.9823257080610023E-2</v>
      </c>
      <c r="O82" s="13">
        <f t="shared" si="35"/>
        <v>138.46648284313724</v>
      </c>
      <c r="P82" s="13">
        <f t="shared" si="35"/>
        <v>272.20242034313725</v>
      </c>
      <c r="Q82" s="13">
        <f t="shared" si="35"/>
        <v>7.929302832244009E-3</v>
      </c>
      <c r="R82" s="13">
        <f t="shared" si="35"/>
        <v>55.386593137254899</v>
      </c>
      <c r="S82" s="13">
        <f t="shared" si="35"/>
        <v>114.88096813725491</v>
      </c>
      <c r="U82" s="13" t="str">
        <f t="shared" si="23"/>
        <v/>
      </c>
      <c r="V82" s="13">
        <f t="shared" si="24"/>
        <v>99.057208361777725</v>
      </c>
      <c r="W82" s="13" t="str">
        <f t="shared" si="36"/>
        <v/>
      </c>
    </row>
    <row r="83" spans="1:23" x14ac:dyDescent="0.25">
      <c r="A83" s="1363">
        <v>0.79</v>
      </c>
      <c r="B83" s="13">
        <f t="shared" si="25"/>
        <v>5.3999999999999999E-2</v>
      </c>
      <c r="C83" s="1364">
        <f t="shared" si="22"/>
        <v>99.2</v>
      </c>
      <c r="D83" s="1431">
        <f>B83*'Рейтинг МКД'!$D$11+'кривые-экспресс'!C83+IF('Рейтинг МКД'!$D$15="нет",7,10)</f>
        <v>419.02499999999998</v>
      </c>
      <c r="E83" s="1431" t="str">
        <f t="shared" si="26"/>
        <v/>
      </c>
      <c r="F83" s="1364" t="str">
        <f t="shared" si="27"/>
        <v/>
      </c>
      <c r="G83" s="1364" t="str">
        <f t="shared" si="28"/>
        <v/>
      </c>
      <c r="H83" s="1364" t="str">
        <f t="shared" si="29"/>
        <v/>
      </c>
      <c r="I83" s="1364" t="str">
        <f t="shared" si="30"/>
        <v/>
      </c>
      <c r="J83" s="1364" t="str">
        <f t="shared" si="31"/>
        <v/>
      </c>
      <c r="K83" s="1364" t="str">
        <f t="shared" si="32"/>
        <v/>
      </c>
      <c r="L83" s="1364" t="str">
        <f t="shared" si="33"/>
        <v/>
      </c>
      <c r="M83" s="1364">
        <f t="shared" si="34"/>
        <v>419.02499999999998</v>
      </c>
      <c r="N83" s="13">
        <f t="shared" si="35"/>
        <v>1.9823257080610023E-2</v>
      </c>
      <c r="O83" s="13">
        <f t="shared" si="35"/>
        <v>138.46648284313724</v>
      </c>
      <c r="P83" s="13">
        <f t="shared" si="35"/>
        <v>272.20242034313725</v>
      </c>
      <c r="Q83" s="13">
        <f t="shared" si="35"/>
        <v>7.929302832244009E-3</v>
      </c>
      <c r="R83" s="13">
        <f t="shared" si="35"/>
        <v>55.386593137254899</v>
      </c>
      <c r="S83" s="13">
        <f t="shared" si="35"/>
        <v>114.88096813725491</v>
      </c>
      <c r="U83" s="13" t="str">
        <f t="shared" si="23"/>
        <v/>
      </c>
      <c r="V83" s="13" t="str">
        <f t="shared" si="24"/>
        <v/>
      </c>
      <c r="W83" s="13" t="str">
        <f t="shared" si="36"/>
        <v/>
      </c>
    </row>
    <row r="84" spans="1:23" x14ac:dyDescent="0.25">
      <c r="A84" s="1363">
        <v>0.8</v>
      </c>
      <c r="B84" s="13">
        <f t="shared" si="25"/>
        <v>5.3999999999999999E-2</v>
      </c>
      <c r="C84" s="1364">
        <f t="shared" si="22"/>
        <v>99.2</v>
      </c>
      <c r="D84" s="1431">
        <f>B84*'Рейтинг МКД'!$D$11+'кривые-экспресс'!C84+IF('Рейтинг МКД'!$D$15="нет",7,10)</f>
        <v>419.02499999999998</v>
      </c>
      <c r="E84" s="1431" t="str">
        <f t="shared" si="26"/>
        <v/>
      </c>
      <c r="F84" s="1364" t="str">
        <f t="shared" si="27"/>
        <v/>
      </c>
      <c r="G84" s="1364" t="str">
        <f t="shared" si="28"/>
        <v/>
      </c>
      <c r="H84" s="1364" t="str">
        <f t="shared" si="29"/>
        <v/>
      </c>
      <c r="I84" s="1364" t="str">
        <f t="shared" si="30"/>
        <v/>
      </c>
      <c r="J84" s="1364" t="str">
        <f t="shared" si="31"/>
        <v/>
      </c>
      <c r="K84" s="1364" t="str">
        <f t="shared" si="32"/>
        <v/>
      </c>
      <c r="L84" s="1364" t="str">
        <f t="shared" si="33"/>
        <v/>
      </c>
      <c r="M84" s="1364">
        <f t="shared" si="34"/>
        <v>419.02499999999998</v>
      </c>
      <c r="N84" s="13">
        <f t="shared" si="35"/>
        <v>1.9823257080610023E-2</v>
      </c>
      <c r="O84" s="13">
        <f t="shared" si="35"/>
        <v>138.46648284313724</v>
      </c>
      <c r="P84" s="13">
        <f t="shared" si="35"/>
        <v>272.20242034313725</v>
      </c>
      <c r="Q84" s="13">
        <f t="shared" si="35"/>
        <v>7.929302832244009E-3</v>
      </c>
      <c r="R84" s="13">
        <f t="shared" si="35"/>
        <v>55.386593137254899</v>
      </c>
      <c r="S84" s="13">
        <f t="shared" si="35"/>
        <v>114.88096813725491</v>
      </c>
      <c r="U84" s="13" t="str">
        <f t="shared" si="23"/>
        <v/>
      </c>
      <c r="V84" s="13" t="str">
        <f t="shared" si="24"/>
        <v/>
      </c>
      <c r="W84" s="13" t="str">
        <f t="shared" si="36"/>
        <v/>
      </c>
    </row>
    <row r="85" spans="1:23" x14ac:dyDescent="0.25">
      <c r="A85" s="1363">
        <v>0.81</v>
      </c>
      <c r="B85" s="13">
        <f t="shared" si="25"/>
        <v>5.5E-2</v>
      </c>
      <c r="C85" s="1364">
        <f t="shared" si="22"/>
        <v>101.4</v>
      </c>
      <c r="D85" s="1431">
        <f>B85*'Рейтинг МКД'!$D$11+'кривые-экспресс'!C85+IF('Рейтинг МКД'!$D$15="нет",7,10)</f>
        <v>426.96249999999998</v>
      </c>
      <c r="E85" s="1431" t="str">
        <f t="shared" si="26"/>
        <v/>
      </c>
      <c r="F85" s="1364" t="str">
        <f t="shared" si="27"/>
        <v/>
      </c>
      <c r="G85" s="1364" t="str">
        <f t="shared" si="28"/>
        <v/>
      </c>
      <c r="H85" s="1364" t="str">
        <f t="shared" si="29"/>
        <v/>
      </c>
      <c r="I85" s="1364" t="str">
        <f t="shared" si="30"/>
        <v/>
      </c>
      <c r="J85" s="1364" t="str">
        <f t="shared" si="31"/>
        <v/>
      </c>
      <c r="K85" s="1364" t="str">
        <f t="shared" si="32"/>
        <v/>
      </c>
      <c r="L85" s="1364" t="str">
        <f t="shared" si="33"/>
        <v/>
      </c>
      <c r="M85" s="1364">
        <f t="shared" si="34"/>
        <v>426.96249999999998</v>
      </c>
      <c r="N85" s="13">
        <f t="shared" si="35"/>
        <v>1.9823257080610023E-2</v>
      </c>
      <c r="O85" s="13">
        <f t="shared" si="35"/>
        <v>138.46648284313724</v>
      </c>
      <c r="P85" s="13">
        <f t="shared" si="35"/>
        <v>272.20242034313725</v>
      </c>
      <c r="Q85" s="13">
        <f t="shared" si="35"/>
        <v>7.929302832244009E-3</v>
      </c>
      <c r="R85" s="13">
        <f t="shared" si="35"/>
        <v>55.386593137254899</v>
      </c>
      <c r="S85" s="13">
        <f t="shared" si="35"/>
        <v>114.88096813725491</v>
      </c>
      <c r="U85" s="13" t="str">
        <f t="shared" si="23"/>
        <v/>
      </c>
      <c r="V85" s="13" t="str">
        <f t="shared" si="24"/>
        <v/>
      </c>
      <c r="W85" s="13" t="str">
        <f t="shared" si="36"/>
        <v/>
      </c>
    </row>
    <row r="86" spans="1:23" x14ac:dyDescent="0.25">
      <c r="A86" s="1363">
        <v>0.82</v>
      </c>
      <c r="B86" s="13">
        <f t="shared" si="25"/>
        <v>5.5E-2</v>
      </c>
      <c r="C86" s="1364">
        <f t="shared" si="22"/>
        <v>101.4</v>
      </c>
      <c r="D86" s="1431">
        <f>B86*'Рейтинг МКД'!$D$11+'кривые-экспресс'!C86+IF('Рейтинг МКД'!$D$15="нет",7,10)</f>
        <v>426.96249999999998</v>
      </c>
      <c r="E86" s="1431" t="str">
        <f t="shared" si="26"/>
        <v/>
      </c>
      <c r="F86" s="1364" t="str">
        <f t="shared" si="27"/>
        <v/>
      </c>
      <c r="G86" s="1364" t="str">
        <f t="shared" si="28"/>
        <v/>
      </c>
      <c r="H86" s="1364" t="str">
        <f t="shared" si="29"/>
        <v/>
      </c>
      <c r="I86" s="1364" t="str">
        <f t="shared" si="30"/>
        <v/>
      </c>
      <c r="J86" s="1364" t="str">
        <f t="shared" si="31"/>
        <v/>
      </c>
      <c r="K86" s="1364" t="str">
        <f t="shared" si="32"/>
        <v/>
      </c>
      <c r="L86" s="1364" t="str">
        <f t="shared" si="33"/>
        <v/>
      </c>
      <c r="M86" s="1364">
        <f t="shared" si="34"/>
        <v>426.96249999999998</v>
      </c>
      <c r="N86" s="13">
        <f t="shared" si="35"/>
        <v>1.9823257080610023E-2</v>
      </c>
      <c r="O86" s="13">
        <f t="shared" si="35"/>
        <v>138.46648284313724</v>
      </c>
      <c r="P86" s="13">
        <f t="shared" si="35"/>
        <v>272.20242034313725</v>
      </c>
      <c r="Q86" s="13">
        <f t="shared" si="35"/>
        <v>7.929302832244009E-3</v>
      </c>
      <c r="R86" s="13">
        <f t="shared" si="35"/>
        <v>55.386593137254899</v>
      </c>
      <c r="S86" s="13">
        <f t="shared" si="35"/>
        <v>114.88096813725491</v>
      </c>
      <c r="U86" s="13" t="str">
        <f t="shared" si="23"/>
        <v/>
      </c>
      <c r="V86" s="13" t="str">
        <f t="shared" si="24"/>
        <v/>
      </c>
      <c r="W86" s="13" t="str">
        <f t="shared" si="36"/>
        <v/>
      </c>
    </row>
    <row r="87" spans="1:23" x14ac:dyDescent="0.25">
      <c r="A87" s="1363">
        <v>0.83</v>
      </c>
      <c r="B87" s="13">
        <f t="shared" si="25"/>
        <v>5.6000000000000001E-2</v>
      </c>
      <c r="C87" s="1364">
        <f t="shared" si="22"/>
        <v>102.8</v>
      </c>
      <c r="D87" s="1431">
        <f>B87*'Рейтинг МКД'!$D$11+'кривые-экспресс'!C87+IF('Рейтинг МКД'!$D$15="нет",7,10)</f>
        <v>434.1</v>
      </c>
      <c r="E87" s="1431" t="str">
        <f t="shared" si="26"/>
        <v/>
      </c>
      <c r="F87" s="1364" t="str">
        <f t="shared" si="27"/>
        <v/>
      </c>
      <c r="G87" s="1364" t="str">
        <f t="shared" si="28"/>
        <v/>
      </c>
      <c r="H87" s="1364" t="str">
        <f t="shared" si="29"/>
        <v/>
      </c>
      <c r="I87" s="1364" t="str">
        <f t="shared" si="30"/>
        <v/>
      </c>
      <c r="J87" s="1364" t="str">
        <f t="shared" si="31"/>
        <v/>
      </c>
      <c r="K87" s="1364" t="str">
        <f t="shared" si="32"/>
        <v/>
      </c>
      <c r="L87" s="1364" t="str">
        <f t="shared" si="33"/>
        <v/>
      </c>
      <c r="M87" s="1364">
        <f t="shared" si="34"/>
        <v>434.1</v>
      </c>
      <c r="N87" s="13">
        <f t="shared" ref="N87:S102" si="37">N86</f>
        <v>1.9823257080610023E-2</v>
      </c>
      <c r="O87" s="13">
        <f t="shared" si="37"/>
        <v>138.46648284313724</v>
      </c>
      <c r="P87" s="13">
        <f t="shared" si="37"/>
        <v>272.20242034313725</v>
      </c>
      <c r="Q87" s="13">
        <f t="shared" si="37"/>
        <v>7.929302832244009E-3</v>
      </c>
      <c r="R87" s="13">
        <f t="shared" si="37"/>
        <v>55.386593137254899</v>
      </c>
      <c r="S87" s="13">
        <f t="shared" si="37"/>
        <v>114.88096813725491</v>
      </c>
      <c r="U87" s="13" t="str">
        <f t="shared" si="23"/>
        <v/>
      </c>
      <c r="V87" s="13" t="str">
        <f t="shared" si="24"/>
        <v/>
      </c>
      <c r="W87" s="13" t="str">
        <f t="shared" si="36"/>
        <v/>
      </c>
    </row>
    <row r="88" spans="1:23" x14ac:dyDescent="0.25">
      <c r="A88" s="1363">
        <v>0.84</v>
      </c>
      <c r="B88" s="13">
        <f t="shared" si="25"/>
        <v>5.6000000000000001E-2</v>
      </c>
      <c r="C88" s="1364">
        <f t="shared" si="22"/>
        <v>102.8</v>
      </c>
      <c r="D88" s="1431">
        <f>B88*'Рейтинг МКД'!$D$11+'кривые-экспресс'!C88+IF('Рейтинг МКД'!$D$15="нет",7,10)</f>
        <v>434.1</v>
      </c>
      <c r="E88" s="1431" t="str">
        <f t="shared" si="26"/>
        <v/>
      </c>
      <c r="F88" s="1364" t="str">
        <f t="shared" si="27"/>
        <v/>
      </c>
      <c r="G88" s="1364" t="str">
        <f t="shared" si="28"/>
        <v/>
      </c>
      <c r="H88" s="1364" t="str">
        <f t="shared" si="29"/>
        <v/>
      </c>
      <c r="I88" s="1364" t="str">
        <f t="shared" si="30"/>
        <v/>
      </c>
      <c r="J88" s="1364" t="str">
        <f t="shared" si="31"/>
        <v/>
      </c>
      <c r="K88" s="1364" t="str">
        <f t="shared" si="32"/>
        <v/>
      </c>
      <c r="L88" s="1364" t="str">
        <f t="shared" si="33"/>
        <v/>
      </c>
      <c r="M88" s="1364">
        <f t="shared" si="34"/>
        <v>434.1</v>
      </c>
      <c r="N88" s="13">
        <f t="shared" si="37"/>
        <v>1.9823257080610023E-2</v>
      </c>
      <c r="O88" s="13">
        <f t="shared" si="37"/>
        <v>138.46648284313724</v>
      </c>
      <c r="P88" s="13">
        <f t="shared" si="37"/>
        <v>272.20242034313725</v>
      </c>
      <c r="Q88" s="13">
        <f t="shared" si="37"/>
        <v>7.929302832244009E-3</v>
      </c>
      <c r="R88" s="13">
        <f t="shared" si="37"/>
        <v>55.386593137254899</v>
      </c>
      <c r="S88" s="13">
        <f t="shared" si="37"/>
        <v>114.88096813725491</v>
      </c>
      <c r="U88" s="13" t="str">
        <f t="shared" si="23"/>
        <v/>
      </c>
      <c r="V88" s="13" t="str">
        <f t="shared" si="24"/>
        <v/>
      </c>
      <c r="W88" s="13" t="str">
        <f t="shared" si="36"/>
        <v/>
      </c>
    </row>
    <row r="89" spans="1:23" x14ac:dyDescent="0.25">
      <c r="A89" s="1363">
        <v>0.85</v>
      </c>
      <c r="B89" s="13">
        <f t="shared" si="25"/>
        <v>5.7000000000000002E-2</v>
      </c>
      <c r="C89" s="1364">
        <f t="shared" si="22"/>
        <v>104.2</v>
      </c>
      <c r="D89" s="1431">
        <f>B89*'Рейтинг МКД'!$D$11+'кривые-экспресс'!C89+IF('Рейтинг МКД'!$D$15="нет",7,10)</f>
        <v>441.23750000000001</v>
      </c>
      <c r="E89" s="1431" t="str">
        <f t="shared" si="26"/>
        <v/>
      </c>
      <c r="F89" s="1364" t="str">
        <f t="shared" si="27"/>
        <v/>
      </c>
      <c r="G89" s="1364" t="str">
        <f t="shared" si="28"/>
        <v/>
      </c>
      <c r="H89" s="1364" t="str">
        <f t="shared" si="29"/>
        <v/>
      </c>
      <c r="I89" s="1364" t="str">
        <f t="shared" si="30"/>
        <v/>
      </c>
      <c r="J89" s="1364" t="str">
        <f t="shared" si="31"/>
        <v/>
      </c>
      <c r="K89" s="1364" t="str">
        <f t="shared" si="32"/>
        <v/>
      </c>
      <c r="L89" s="1364" t="str">
        <f t="shared" si="33"/>
        <v/>
      </c>
      <c r="M89" s="1364">
        <f t="shared" si="34"/>
        <v>441.23750000000001</v>
      </c>
      <c r="N89" s="13">
        <f t="shared" si="37"/>
        <v>1.9823257080610023E-2</v>
      </c>
      <c r="O89" s="13">
        <f t="shared" si="37"/>
        <v>138.46648284313724</v>
      </c>
      <c r="P89" s="13">
        <f t="shared" si="37"/>
        <v>272.20242034313725</v>
      </c>
      <c r="Q89" s="13">
        <f t="shared" si="37"/>
        <v>7.929302832244009E-3</v>
      </c>
      <c r="R89" s="13">
        <f t="shared" si="37"/>
        <v>55.386593137254899</v>
      </c>
      <c r="S89" s="13">
        <f t="shared" si="37"/>
        <v>114.88096813725491</v>
      </c>
      <c r="U89" s="13" t="str">
        <f t="shared" si="23"/>
        <v/>
      </c>
      <c r="V89" s="13" t="str">
        <f t="shared" si="24"/>
        <v/>
      </c>
      <c r="W89" s="13" t="str">
        <f t="shared" si="36"/>
        <v/>
      </c>
    </row>
    <row r="90" spans="1:23" x14ac:dyDescent="0.25">
      <c r="A90" s="1363">
        <v>0.86</v>
      </c>
      <c r="B90" s="13">
        <f t="shared" si="25"/>
        <v>5.7000000000000002E-2</v>
      </c>
      <c r="C90" s="1364">
        <f t="shared" si="22"/>
        <v>104.2</v>
      </c>
      <c r="D90" s="1431">
        <f>B90*'Рейтинг МКД'!$D$11+'кривые-экспресс'!C90+IF('Рейтинг МКД'!$D$15="нет",7,10)</f>
        <v>441.23750000000001</v>
      </c>
      <c r="E90" s="1431" t="str">
        <f t="shared" si="26"/>
        <v/>
      </c>
      <c r="F90" s="1364" t="str">
        <f t="shared" si="27"/>
        <v/>
      </c>
      <c r="G90" s="1364" t="str">
        <f t="shared" si="28"/>
        <v/>
      </c>
      <c r="H90" s="1364" t="str">
        <f t="shared" si="29"/>
        <v/>
      </c>
      <c r="I90" s="1364" t="str">
        <f t="shared" si="30"/>
        <v/>
      </c>
      <c r="J90" s="1364" t="str">
        <f t="shared" si="31"/>
        <v/>
      </c>
      <c r="K90" s="1364" t="str">
        <f t="shared" si="32"/>
        <v/>
      </c>
      <c r="L90" s="1364" t="str">
        <f t="shared" si="33"/>
        <v/>
      </c>
      <c r="M90" s="1364">
        <f t="shared" si="34"/>
        <v>441.23750000000001</v>
      </c>
      <c r="N90" s="13">
        <f t="shared" si="37"/>
        <v>1.9823257080610023E-2</v>
      </c>
      <c r="O90" s="13">
        <f t="shared" si="37"/>
        <v>138.46648284313724</v>
      </c>
      <c r="P90" s="13">
        <f t="shared" si="37"/>
        <v>272.20242034313725</v>
      </c>
      <c r="Q90" s="13">
        <f t="shared" si="37"/>
        <v>7.929302832244009E-3</v>
      </c>
      <c r="R90" s="13">
        <f t="shared" si="37"/>
        <v>55.386593137254899</v>
      </c>
      <c r="S90" s="13">
        <f t="shared" si="37"/>
        <v>114.88096813725491</v>
      </c>
      <c r="U90" s="13" t="str">
        <f t="shared" si="23"/>
        <v/>
      </c>
      <c r="V90" s="13" t="str">
        <f t="shared" si="24"/>
        <v/>
      </c>
      <c r="W90" s="13" t="str">
        <f t="shared" si="36"/>
        <v/>
      </c>
    </row>
    <row r="91" spans="1:23" x14ac:dyDescent="0.25">
      <c r="A91" s="1363">
        <v>0.87</v>
      </c>
      <c r="B91" s="13">
        <f t="shared" si="25"/>
        <v>5.8000000000000003E-2</v>
      </c>
      <c r="C91" s="1364">
        <f t="shared" si="22"/>
        <v>105.7</v>
      </c>
      <c r="D91" s="1431">
        <f>B91*'Рейтинг МКД'!$D$11+'кривые-экспресс'!C91+IF('Рейтинг МКД'!$D$15="нет",7,10)</f>
        <v>448.47500000000002</v>
      </c>
      <c r="E91" s="1431" t="str">
        <f t="shared" si="26"/>
        <v/>
      </c>
      <c r="F91" s="1364" t="str">
        <f t="shared" si="27"/>
        <v/>
      </c>
      <c r="G91" s="1364" t="str">
        <f t="shared" si="28"/>
        <v/>
      </c>
      <c r="H91" s="1364" t="str">
        <f t="shared" si="29"/>
        <v/>
      </c>
      <c r="I91" s="1364" t="str">
        <f t="shared" si="30"/>
        <v/>
      </c>
      <c r="J91" s="1364" t="str">
        <f t="shared" si="31"/>
        <v/>
      </c>
      <c r="K91" s="1364" t="str">
        <f t="shared" si="32"/>
        <v/>
      </c>
      <c r="L91" s="1364" t="str">
        <f t="shared" si="33"/>
        <v/>
      </c>
      <c r="M91" s="1364">
        <f t="shared" si="34"/>
        <v>448.47500000000002</v>
      </c>
      <c r="N91" s="13">
        <f t="shared" si="37"/>
        <v>1.9823257080610023E-2</v>
      </c>
      <c r="O91" s="13">
        <f t="shared" si="37"/>
        <v>138.46648284313724</v>
      </c>
      <c r="P91" s="13">
        <f t="shared" si="37"/>
        <v>272.20242034313725</v>
      </c>
      <c r="Q91" s="13">
        <f t="shared" si="37"/>
        <v>7.929302832244009E-3</v>
      </c>
      <c r="R91" s="13">
        <f t="shared" si="37"/>
        <v>55.386593137254899</v>
      </c>
      <c r="S91" s="13">
        <f t="shared" si="37"/>
        <v>114.88096813725491</v>
      </c>
      <c r="U91" s="13" t="str">
        <f t="shared" si="23"/>
        <v/>
      </c>
      <c r="V91" s="13" t="str">
        <f t="shared" si="24"/>
        <v/>
      </c>
      <c r="W91" s="13" t="str">
        <f t="shared" si="36"/>
        <v/>
      </c>
    </row>
    <row r="92" spans="1:23" x14ac:dyDescent="0.25">
      <c r="A92" s="1363">
        <v>0.88</v>
      </c>
      <c r="B92" s="13">
        <f t="shared" si="25"/>
        <v>5.8000000000000003E-2</v>
      </c>
      <c r="C92" s="1364">
        <f t="shared" si="22"/>
        <v>105.7</v>
      </c>
      <c r="D92" s="1431">
        <f>B92*'Рейтинг МКД'!$D$11+'кривые-экспресс'!C92+IF('Рейтинг МКД'!$D$15="нет",7,10)</f>
        <v>448.47500000000002</v>
      </c>
      <c r="E92" s="1431" t="str">
        <f t="shared" si="26"/>
        <v/>
      </c>
      <c r="F92" s="1364" t="str">
        <f t="shared" si="27"/>
        <v/>
      </c>
      <c r="G92" s="1364" t="str">
        <f t="shared" si="28"/>
        <v/>
      </c>
      <c r="H92" s="1364" t="str">
        <f t="shared" si="29"/>
        <v/>
      </c>
      <c r="I92" s="1364" t="str">
        <f t="shared" si="30"/>
        <v/>
      </c>
      <c r="J92" s="1364" t="str">
        <f t="shared" si="31"/>
        <v/>
      </c>
      <c r="K92" s="1364" t="str">
        <f t="shared" si="32"/>
        <v/>
      </c>
      <c r="L92" s="1364" t="str">
        <f t="shared" si="33"/>
        <v/>
      </c>
      <c r="M92" s="1364">
        <f t="shared" si="34"/>
        <v>448.47500000000002</v>
      </c>
      <c r="N92" s="13">
        <f t="shared" si="37"/>
        <v>1.9823257080610023E-2</v>
      </c>
      <c r="O92" s="13">
        <f t="shared" si="37"/>
        <v>138.46648284313724</v>
      </c>
      <c r="P92" s="13">
        <f t="shared" si="37"/>
        <v>272.20242034313725</v>
      </c>
      <c r="Q92" s="13">
        <f t="shared" si="37"/>
        <v>7.929302832244009E-3</v>
      </c>
      <c r="R92" s="13">
        <f t="shared" si="37"/>
        <v>55.386593137254899</v>
      </c>
      <c r="S92" s="13">
        <f t="shared" si="37"/>
        <v>114.88096813725491</v>
      </c>
      <c r="U92" s="13" t="str">
        <f t="shared" si="23"/>
        <v/>
      </c>
      <c r="V92" s="13" t="str">
        <f t="shared" si="24"/>
        <v/>
      </c>
      <c r="W92" s="13" t="str">
        <f t="shared" si="36"/>
        <v/>
      </c>
    </row>
    <row r="93" spans="1:23" x14ac:dyDescent="0.25">
      <c r="A93" s="1363">
        <v>0.89</v>
      </c>
      <c r="B93" s="13">
        <f t="shared" si="25"/>
        <v>6.0999999999999999E-2</v>
      </c>
      <c r="C93" s="1364">
        <f t="shared" si="22"/>
        <v>107.7</v>
      </c>
      <c r="D93" s="1431">
        <f>B93*'Рейтинг МКД'!$D$11+'кривые-экспресс'!C93+IF('Рейтинг МКД'!$D$15="нет",7,10)</f>
        <v>467.6875</v>
      </c>
      <c r="E93" s="1431" t="str">
        <f t="shared" si="26"/>
        <v/>
      </c>
      <c r="F93" s="1364" t="str">
        <f t="shared" si="27"/>
        <v/>
      </c>
      <c r="G93" s="1364" t="str">
        <f t="shared" si="28"/>
        <v/>
      </c>
      <c r="H93" s="1364" t="str">
        <f t="shared" si="29"/>
        <v/>
      </c>
      <c r="I93" s="1364" t="str">
        <f t="shared" si="30"/>
        <v/>
      </c>
      <c r="J93" s="1364" t="str">
        <f t="shared" si="31"/>
        <v/>
      </c>
      <c r="K93" s="1364" t="str">
        <f t="shared" si="32"/>
        <v/>
      </c>
      <c r="L93" s="1364" t="str">
        <f t="shared" si="33"/>
        <v/>
      </c>
      <c r="M93" s="1364">
        <f t="shared" si="34"/>
        <v>467.6875</v>
      </c>
      <c r="N93" s="13">
        <f t="shared" si="37"/>
        <v>1.9823257080610023E-2</v>
      </c>
      <c r="O93" s="13">
        <f t="shared" si="37"/>
        <v>138.46648284313724</v>
      </c>
      <c r="P93" s="13">
        <f t="shared" si="37"/>
        <v>272.20242034313725</v>
      </c>
      <c r="Q93" s="13">
        <f t="shared" si="37"/>
        <v>7.929302832244009E-3</v>
      </c>
      <c r="R93" s="13">
        <f t="shared" si="37"/>
        <v>55.386593137254899</v>
      </c>
      <c r="S93" s="13">
        <f t="shared" si="37"/>
        <v>114.88096813725491</v>
      </c>
      <c r="U93" s="13" t="str">
        <f t="shared" si="23"/>
        <v/>
      </c>
      <c r="V93" s="13" t="str">
        <f t="shared" si="24"/>
        <v/>
      </c>
      <c r="W93" s="13" t="str">
        <f t="shared" si="36"/>
        <v/>
      </c>
    </row>
    <row r="94" spans="1:23" x14ac:dyDescent="0.25">
      <c r="A94" s="1363">
        <v>0.9</v>
      </c>
      <c r="B94" s="13">
        <f t="shared" si="25"/>
        <v>6.0999999999999999E-2</v>
      </c>
      <c r="C94" s="1364">
        <f t="shared" si="22"/>
        <v>107.7</v>
      </c>
      <c r="D94" s="1431">
        <f>B94*'Рейтинг МКД'!$D$11+'кривые-экспресс'!C94+IF('Рейтинг МКД'!$D$15="нет",7,10)</f>
        <v>467.6875</v>
      </c>
      <c r="E94" s="1431" t="str">
        <f t="shared" si="26"/>
        <v/>
      </c>
      <c r="F94" s="1364" t="str">
        <f t="shared" si="27"/>
        <v/>
      </c>
      <c r="G94" s="1364" t="str">
        <f t="shared" si="28"/>
        <v/>
      </c>
      <c r="H94" s="1364" t="str">
        <f t="shared" si="29"/>
        <v/>
      </c>
      <c r="I94" s="1364" t="str">
        <f t="shared" si="30"/>
        <v/>
      </c>
      <c r="J94" s="1364" t="str">
        <f t="shared" si="31"/>
        <v/>
      </c>
      <c r="K94" s="1364" t="str">
        <f t="shared" si="32"/>
        <v/>
      </c>
      <c r="L94" s="1364" t="str">
        <f t="shared" si="33"/>
        <v/>
      </c>
      <c r="M94" s="1364">
        <f t="shared" si="34"/>
        <v>467.6875</v>
      </c>
      <c r="N94" s="13">
        <f t="shared" si="37"/>
        <v>1.9823257080610023E-2</v>
      </c>
      <c r="O94" s="13">
        <f t="shared" si="37"/>
        <v>138.46648284313724</v>
      </c>
      <c r="P94" s="13">
        <f t="shared" si="37"/>
        <v>272.20242034313725</v>
      </c>
      <c r="Q94" s="13">
        <f t="shared" si="37"/>
        <v>7.929302832244009E-3</v>
      </c>
      <c r="R94" s="13">
        <f t="shared" si="37"/>
        <v>55.386593137254899</v>
      </c>
      <c r="S94" s="13">
        <f t="shared" si="37"/>
        <v>114.88096813725491</v>
      </c>
      <c r="U94" s="13" t="str">
        <f t="shared" si="23"/>
        <v/>
      </c>
      <c r="V94" s="13" t="str">
        <f t="shared" si="24"/>
        <v/>
      </c>
      <c r="W94" s="13" t="str">
        <f t="shared" si="36"/>
        <v/>
      </c>
    </row>
    <row r="95" spans="1:23" x14ac:dyDescent="0.25">
      <c r="A95" s="1363">
        <v>0.91</v>
      </c>
      <c r="B95" s="13">
        <f t="shared" si="25"/>
        <v>6.3E-2</v>
      </c>
      <c r="C95" s="1364">
        <f t="shared" si="22"/>
        <v>109.6</v>
      </c>
      <c r="D95" s="1431">
        <f>B95*'Рейтинг МКД'!$D$11+'кривые-экспресс'!C95+IF('Рейтинг МКД'!$D$15="нет",7,10)</f>
        <v>481.0625</v>
      </c>
      <c r="E95" s="1431" t="str">
        <f t="shared" si="26"/>
        <v/>
      </c>
      <c r="F95" s="1364" t="str">
        <f t="shared" si="27"/>
        <v/>
      </c>
      <c r="G95" s="1364" t="str">
        <f t="shared" si="28"/>
        <v/>
      </c>
      <c r="H95" s="1364" t="str">
        <f t="shared" si="29"/>
        <v/>
      </c>
      <c r="I95" s="1364" t="str">
        <f t="shared" si="30"/>
        <v/>
      </c>
      <c r="J95" s="1364" t="str">
        <f t="shared" si="31"/>
        <v/>
      </c>
      <c r="K95" s="1364" t="str">
        <f t="shared" si="32"/>
        <v/>
      </c>
      <c r="L95" s="1364" t="str">
        <f t="shared" si="33"/>
        <v/>
      </c>
      <c r="M95" s="1364">
        <f t="shared" si="34"/>
        <v>481.0625</v>
      </c>
      <c r="N95" s="13">
        <f t="shared" si="37"/>
        <v>1.9823257080610023E-2</v>
      </c>
      <c r="O95" s="13">
        <f t="shared" si="37"/>
        <v>138.46648284313724</v>
      </c>
      <c r="P95" s="13">
        <f t="shared" si="37"/>
        <v>272.20242034313725</v>
      </c>
      <c r="Q95" s="13">
        <f t="shared" si="37"/>
        <v>7.929302832244009E-3</v>
      </c>
      <c r="R95" s="13">
        <f t="shared" si="37"/>
        <v>55.386593137254899</v>
      </c>
      <c r="S95" s="13">
        <f t="shared" si="37"/>
        <v>114.88096813725491</v>
      </c>
      <c r="U95" s="13" t="str">
        <f t="shared" si="23"/>
        <v/>
      </c>
      <c r="V95" s="13" t="str">
        <f t="shared" si="24"/>
        <v/>
      </c>
      <c r="W95" s="13" t="str">
        <f t="shared" si="36"/>
        <v/>
      </c>
    </row>
    <row r="96" spans="1:23" x14ac:dyDescent="0.25">
      <c r="A96" s="1363">
        <v>0.92</v>
      </c>
      <c r="B96" s="13">
        <f t="shared" si="25"/>
        <v>6.3E-2</v>
      </c>
      <c r="C96" s="1364">
        <f t="shared" si="22"/>
        <v>109.6</v>
      </c>
      <c r="D96" s="1431">
        <f>B96*'Рейтинг МКД'!$D$11+'кривые-экспресс'!C96+IF('Рейтинг МКД'!$D$15="нет",7,10)</f>
        <v>481.0625</v>
      </c>
      <c r="E96" s="1431" t="str">
        <f t="shared" si="26"/>
        <v/>
      </c>
      <c r="F96" s="1364" t="str">
        <f t="shared" si="27"/>
        <v/>
      </c>
      <c r="G96" s="1364" t="str">
        <f t="shared" si="28"/>
        <v/>
      </c>
      <c r="H96" s="1364" t="str">
        <f t="shared" si="29"/>
        <v/>
      </c>
      <c r="I96" s="1364" t="str">
        <f t="shared" si="30"/>
        <v/>
      </c>
      <c r="J96" s="1364" t="str">
        <f t="shared" si="31"/>
        <v/>
      </c>
      <c r="K96" s="1364" t="str">
        <f t="shared" si="32"/>
        <v/>
      </c>
      <c r="L96" s="1364" t="str">
        <f t="shared" si="33"/>
        <v/>
      </c>
      <c r="M96" s="1364">
        <f t="shared" si="34"/>
        <v>481.0625</v>
      </c>
      <c r="N96" s="13">
        <f t="shared" si="37"/>
        <v>1.9823257080610023E-2</v>
      </c>
      <c r="O96" s="13">
        <f t="shared" si="37"/>
        <v>138.46648284313724</v>
      </c>
      <c r="P96" s="13">
        <f t="shared" si="37"/>
        <v>272.20242034313725</v>
      </c>
      <c r="Q96" s="13">
        <f t="shared" si="37"/>
        <v>7.929302832244009E-3</v>
      </c>
      <c r="R96" s="13">
        <f t="shared" si="37"/>
        <v>55.386593137254899</v>
      </c>
      <c r="S96" s="13">
        <f t="shared" si="37"/>
        <v>114.88096813725491</v>
      </c>
      <c r="U96" s="13" t="str">
        <f t="shared" si="23"/>
        <v/>
      </c>
      <c r="V96" s="13" t="str">
        <f t="shared" si="24"/>
        <v/>
      </c>
      <c r="W96" s="13" t="str">
        <f t="shared" si="36"/>
        <v/>
      </c>
    </row>
    <row r="97" spans="1:23" x14ac:dyDescent="0.25">
      <c r="A97" s="1363">
        <v>0.93</v>
      </c>
      <c r="B97" s="13">
        <f t="shared" si="25"/>
        <v>6.7000000000000004E-2</v>
      </c>
      <c r="C97" s="1364">
        <f t="shared" si="22"/>
        <v>113</v>
      </c>
      <c r="D97" s="1431">
        <f>B97*'Рейтинг МКД'!$D$11+'кривые-экспресс'!C97+IF('Рейтинг МКД'!$D$15="нет",7,10)</f>
        <v>507.41250000000002</v>
      </c>
      <c r="E97" s="1431" t="str">
        <f t="shared" si="26"/>
        <v/>
      </c>
      <c r="F97" s="1364" t="str">
        <f t="shared" si="27"/>
        <v/>
      </c>
      <c r="G97" s="1364" t="str">
        <f t="shared" si="28"/>
        <v/>
      </c>
      <c r="H97" s="1364" t="str">
        <f t="shared" si="29"/>
        <v/>
      </c>
      <c r="I97" s="1364" t="str">
        <f t="shared" si="30"/>
        <v/>
      </c>
      <c r="J97" s="1364" t="str">
        <f t="shared" si="31"/>
        <v/>
      </c>
      <c r="K97" s="1364" t="str">
        <f t="shared" si="32"/>
        <v/>
      </c>
      <c r="L97" s="1364" t="str">
        <f t="shared" si="33"/>
        <v/>
      </c>
      <c r="M97" s="1364">
        <f t="shared" si="34"/>
        <v>507.41250000000002</v>
      </c>
      <c r="N97" s="13">
        <f t="shared" si="37"/>
        <v>1.9823257080610023E-2</v>
      </c>
      <c r="O97" s="13">
        <f t="shared" si="37"/>
        <v>138.46648284313724</v>
      </c>
      <c r="P97" s="13">
        <f t="shared" si="37"/>
        <v>272.20242034313725</v>
      </c>
      <c r="Q97" s="13">
        <f t="shared" si="37"/>
        <v>7.929302832244009E-3</v>
      </c>
      <c r="R97" s="13">
        <f t="shared" si="37"/>
        <v>55.386593137254899</v>
      </c>
      <c r="S97" s="13">
        <f t="shared" si="37"/>
        <v>114.88096813725491</v>
      </c>
      <c r="U97" s="13" t="str">
        <f t="shared" si="23"/>
        <v/>
      </c>
      <c r="V97" s="13" t="str">
        <f t="shared" si="24"/>
        <v/>
      </c>
      <c r="W97" s="13" t="str">
        <f t="shared" si="36"/>
        <v/>
      </c>
    </row>
    <row r="98" spans="1:23" x14ac:dyDescent="0.25">
      <c r="A98" s="1363">
        <v>0.94</v>
      </c>
      <c r="B98" s="13">
        <f t="shared" si="25"/>
        <v>6.7000000000000004E-2</v>
      </c>
      <c r="C98" s="1364">
        <f t="shared" si="22"/>
        <v>113</v>
      </c>
      <c r="D98" s="1431">
        <f>B98*'Рейтинг МКД'!$D$11+'кривые-экспресс'!C98+IF('Рейтинг МКД'!$D$15="нет",7,10)</f>
        <v>507.41250000000002</v>
      </c>
      <c r="E98" s="1431" t="str">
        <f t="shared" si="26"/>
        <v/>
      </c>
      <c r="F98" s="1364" t="str">
        <f t="shared" si="27"/>
        <v/>
      </c>
      <c r="G98" s="1364" t="str">
        <f t="shared" si="28"/>
        <v/>
      </c>
      <c r="H98" s="1364" t="str">
        <f t="shared" si="29"/>
        <v/>
      </c>
      <c r="I98" s="1364" t="str">
        <f t="shared" si="30"/>
        <v/>
      </c>
      <c r="J98" s="1364" t="str">
        <f t="shared" si="31"/>
        <v/>
      </c>
      <c r="K98" s="1364" t="str">
        <f t="shared" si="32"/>
        <v/>
      </c>
      <c r="L98" s="1364" t="str">
        <f t="shared" si="33"/>
        <v/>
      </c>
      <c r="M98" s="1364">
        <f t="shared" si="34"/>
        <v>507.41250000000002</v>
      </c>
      <c r="N98" s="13">
        <f t="shared" si="37"/>
        <v>1.9823257080610023E-2</v>
      </c>
      <c r="O98" s="13">
        <f t="shared" si="37"/>
        <v>138.46648284313724</v>
      </c>
      <c r="P98" s="13">
        <f t="shared" si="37"/>
        <v>272.20242034313725</v>
      </c>
      <c r="Q98" s="13">
        <f t="shared" si="37"/>
        <v>7.929302832244009E-3</v>
      </c>
      <c r="R98" s="13">
        <f t="shared" si="37"/>
        <v>55.386593137254899</v>
      </c>
      <c r="S98" s="13">
        <f t="shared" si="37"/>
        <v>114.88096813725491</v>
      </c>
      <c r="U98" s="13" t="str">
        <f t="shared" si="23"/>
        <v/>
      </c>
      <c r="V98" s="13" t="str">
        <f t="shared" si="24"/>
        <v/>
      </c>
      <c r="W98" s="13" t="str">
        <f t="shared" si="36"/>
        <v/>
      </c>
    </row>
    <row r="99" spans="1:23" x14ac:dyDescent="0.25">
      <c r="A99" s="1363">
        <v>0.95</v>
      </c>
      <c r="B99" s="13">
        <f t="shared" si="25"/>
        <v>6.9000000000000006E-2</v>
      </c>
      <c r="C99" s="1364">
        <f t="shared" si="22"/>
        <v>117.8</v>
      </c>
      <c r="D99" s="1431">
        <f>B99*'Рейтинг МКД'!$D$11+'кривые-экспресс'!C99+IF('Рейтинг МКД'!$D$15="нет",7,10)</f>
        <v>523.6875</v>
      </c>
      <c r="E99" s="1431" t="str">
        <f t="shared" si="26"/>
        <v/>
      </c>
      <c r="F99" s="1364" t="str">
        <f t="shared" si="27"/>
        <v/>
      </c>
      <c r="G99" s="1364" t="str">
        <f t="shared" si="28"/>
        <v/>
      </c>
      <c r="H99" s="1364" t="str">
        <f t="shared" si="29"/>
        <v/>
      </c>
      <c r="I99" s="1364" t="str">
        <f t="shared" si="30"/>
        <v/>
      </c>
      <c r="J99" s="1364" t="str">
        <f t="shared" si="31"/>
        <v/>
      </c>
      <c r="K99" s="1364" t="str">
        <f t="shared" si="32"/>
        <v/>
      </c>
      <c r="L99" s="1364" t="str">
        <f t="shared" si="33"/>
        <v/>
      </c>
      <c r="M99" s="1364">
        <f t="shared" si="34"/>
        <v>523.6875</v>
      </c>
      <c r="N99" s="13">
        <f t="shared" si="37"/>
        <v>1.9823257080610023E-2</v>
      </c>
      <c r="O99" s="13">
        <f t="shared" si="37"/>
        <v>138.46648284313724</v>
      </c>
      <c r="P99" s="13">
        <f t="shared" si="37"/>
        <v>272.20242034313725</v>
      </c>
      <c r="Q99" s="13">
        <f t="shared" si="37"/>
        <v>7.929302832244009E-3</v>
      </c>
      <c r="R99" s="13">
        <f t="shared" si="37"/>
        <v>55.386593137254899</v>
      </c>
      <c r="S99" s="13">
        <f t="shared" si="37"/>
        <v>114.88096813725491</v>
      </c>
      <c r="U99" s="13" t="str">
        <f t="shared" si="23"/>
        <v/>
      </c>
      <c r="V99" s="13" t="str">
        <f t="shared" si="24"/>
        <v/>
      </c>
      <c r="W99" s="13" t="str">
        <f t="shared" si="36"/>
        <v/>
      </c>
    </row>
    <row r="100" spans="1:23" x14ac:dyDescent="0.25">
      <c r="A100" s="1363">
        <v>0.96</v>
      </c>
      <c r="B100" s="13">
        <f t="shared" si="25"/>
        <v>7.0000000000000007E-2</v>
      </c>
      <c r="C100" s="1364">
        <f t="shared" si="22"/>
        <v>124.3</v>
      </c>
      <c r="D100" s="1431">
        <f>B100*'Рейтинг МКД'!$D$11+'кривые-экспресс'!C100+IF('Рейтинг МКД'!$D$15="нет",7,10)</f>
        <v>535.92500000000007</v>
      </c>
      <c r="E100" s="1431" t="str">
        <f t="shared" si="26"/>
        <v/>
      </c>
      <c r="F100" s="1364" t="str">
        <f t="shared" si="27"/>
        <v/>
      </c>
      <c r="G100" s="1364" t="str">
        <f t="shared" si="28"/>
        <v/>
      </c>
      <c r="H100" s="1364" t="str">
        <f t="shared" si="29"/>
        <v/>
      </c>
      <c r="I100" s="1364" t="str">
        <f t="shared" si="30"/>
        <v/>
      </c>
      <c r="J100" s="1364" t="str">
        <f t="shared" si="31"/>
        <v/>
      </c>
      <c r="K100" s="1364" t="str">
        <f t="shared" si="32"/>
        <v/>
      </c>
      <c r="L100" s="1364" t="str">
        <f t="shared" si="33"/>
        <v/>
      </c>
      <c r="M100" s="1364">
        <f t="shared" si="34"/>
        <v>535.92500000000007</v>
      </c>
      <c r="N100" s="13">
        <f t="shared" si="37"/>
        <v>1.9823257080610023E-2</v>
      </c>
      <c r="O100" s="13">
        <f t="shared" si="37"/>
        <v>138.46648284313724</v>
      </c>
      <c r="P100" s="13">
        <f t="shared" si="37"/>
        <v>272.20242034313725</v>
      </c>
      <c r="Q100" s="13">
        <f t="shared" si="37"/>
        <v>7.929302832244009E-3</v>
      </c>
      <c r="R100" s="13">
        <f t="shared" si="37"/>
        <v>55.386593137254899</v>
      </c>
      <c r="S100" s="13">
        <f t="shared" si="37"/>
        <v>114.88096813725491</v>
      </c>
      <c r="U100" s="13" t="str">
        <f t="shared" si="23"/>
        <v/>
      </c>
      <c r="V100" s="13" t="str">
        <f t="shared" si="24"/>
        <v/>
      </c>
      <c r="W100" s="13" t="str">
        <f t="shared" si="36"/>
        <v/>
      </c>
    </row>
    <row r="101" spans="1:23" x14ac:dyDescent="0.25">
      <c r="A101" s="1363">
        <v>0.97</v>
      </c>
      <c r="B101" s="13">
        <f t="shared" si="25"/>
        <v>7.0999999999999994E-2</v>
      </c>
      <c r="C101" s="1364">
        <f>$B$106*B309+$C$106*C309+$D$106*D309+$E$106*E309+$F$106*F309+$G$106*G309+$H$106*H309+$I$106*I309+$J$106*J309+$K$106*K309+$L$106*L309+$M$106*M309</f>
        <v>124.3</v>
      </c>
      <c r="D101" s="1431">
        <f>B101*'Рейтинг МКД'!$D$11+'кривые-экспресс'!C101+IF('Рейтинг МКД'!$D$15="нет",7,10)</f>
        <v>541.66249999999991</v>
      </c>
      <c r="E101" s="1431" t="str">
        <f t="shared" si="26"/>
        <v/>
      </c>
      <c r="F101" s="1364" t="str">
        <f t="shared" si="27"/>
        <v/>
      </c>
      <c r="G101" s="1364" t="str">
        <f t="shared" si="28"/>
        <v/>
      </c>
      <c r="H101" s="1364" t="str">
        <f t="shared" si="29"/>
        <v/>
      </c>
      <c r="I101" s="1364" t="str">
        <f t="shared" si="30"/>
        <v/>
      </c>
      <c r="J101" s="1364" t="str">
        <f t="shared" si="31"/>
        <v/>
      </c>
      <c r="K101" s="1364" t="str">
        <f t="shared" si="32"/>
        <v/>
      </c>
      <c r="L101" s="1364" t="str">
        <f t="shared" si="33"/>
        <v/>
      </c>
      <c r="M101" s="1364">
        <f t="shared" si="34"/>
        <v>541.66249999999991</v>
      </c>
      <c r="N101" s="13">
        <f t="shared" si="37"/>
        <v>1.9823257080610023E-2</v>
      </c>
      <c r="O101" s="13">
        <f t="shared" si="37"/>
        <v>138.46648284313724</v>
      </c>
      <c r="P101" s="13">
        <f t="shared" si="37"/>
        <v>272.20242034313725</v>
      </c>
      <c r="Q101" s="13">
        <f t="shared" si="37"/>
        <v>7.929302832244009E-3</v>
      </c>
      <c r="R101" s="13">
        <f t="shared" si="37"/>
        <v>55.386593137254899</v>
      </c>
      <c r="S101" s="13">
        <f t="shared" si="37"/>
        <v>114.88096813725491</v>
      </c>
      <c r="U101" s="13" t="str">
        <f t="shared" si="23"/>
        <v/>
      </c>
      <c r="V101" s="13" t="str">
        <f t="shared" si="24"/>
        <v/>
      </c>
      <c r="W101" s="13" t="str">
        <f t="shared" si="36"/>
        <v/>
      </c>
    </row>
    <row r="102" spans="1:23" x14ac:dyDescent="0.25">
      <c r="A102" s="1363">
        <v>0.98</v>
      </c>
      <c r="B102" s="13">
        <f t="shared" si="25"/>
        <v>7.3999999999999996E-2</v>
      </c>
      <c r="C102" s="1364">
        <f>$B$106*B310+$C$106*C310+$D$106*D310+$E$106*E310+$F$106*F310+$G$106*G310+$H$106*H310+$I$106*I310+$J$106*J310+$K$106*K310+$L$106*L310+$M$106*M310</f>
        <v>140.9</v>
      </c>
      <c r="D102" s="1431">
        <f>B102*'Рейтинг МКД'!$D$11+'кривые-экспресс'!C102+IF('Рейтинг МКД'!$D$15="нет",7,10)</f>
        <v>575.47500000000002</v>
      </c>
      <c r="E102" s="1431" t="str">
        <f t="shared" si="26"/>
        <v/>
      </c>
      <c r="F102" s="1364" t="str">
        <f t="shared" si="27"/>
        <v/>
      </c>
      <c r="G102" s="1364" t="str">
        <f t="shared" si="28"/>
        <v/>
      </c>
      <c r="H102" s="1364" t="str">
        <f t="shared" si="29"/>
        <v/>
      </c>
      <c r="I102" s="1364" t="str">
        <f t="shared" si="30"/>
        <v/>
      </c>
      <c r="J102" s="1364" t="str">
        <f t="shared" si="31"/>
        <v/>
      </c>
      <c r="K102" s="1364" t="str">
        <f t="shared" si="32"/>
        <v/>
      </c>
      <c r="L102" s="1364" t="str">
        <f t="shared" si="33"/>
        <v/>
      </c>
      <c r="M102" s="1364">
        <f t="shared" si="34"/>
        <v>575.47500000000002</v>
      </c>
      <c r="N102" s="13">
        <f t="shared" si="37"/>
        <v>1.9823257080610023E-2</v>
      </c>
      <c r="O102" s="13">
        <f t="shared" si="37"/>
        <v>138.46648284313724</v>
      </c>
      <c r="P102" s="13">
        <f t="shared" si="37"/>
        <v>272.20242034313725</v>
      </c>
      <c r="Q102" s="13">
        <f t="shared" si="37"/>
        <v>7.929302832244009E-3</v>
      </c>
      <c r="R102" s="13">
        <f t="shared" si="37"/>
        <v>55.386593137254899</v>
      </c>
      <c r="S102" s="13">
        <f t="shared" si="37"/>
        <v>114.88096813725491</v>
      </c>
      <c r="U102" s="13" t="str">
        <f t="shared" si="23"/>
        <v/>
      </c>
      <c r="V102" s="13" t="str">
        <f t="shared" si="24"/>
        <v/>
      </c>
      <c r="W102" s="13" t="str">
        <f t="shared" si="36"/>
        <v/>
      </c>
    </row>
    <row r="103" spans="1:23" x14ac:dyDescent="0.25">
      <c r="A103" s="1363">
        <v>0.99</v>
      </c>
      <c r="B103" s="13">
        <f t="shared" si="25"/>
        <v>7.5999999999999998E-2</v>
      </c>
      <c r="C103" s="1364">
        <f>$B$106*B311+$C$106*C311+$D$106*D311+$E$106*E311+$F$106*F311+$G$106*G311+$H$106*H311+$I$106*I311+$J$106*J311+$K$106*K311+$L$106*L311+$M$106*M311</f>
        <v>140.9</v>
      </c>
      <c r="D103" s="1431">
        <f>B103*'Рейтинг МКД'!$D$11+'кривые-экспресс'!C103+IF('Рейтинг МКД'!$D$15="нет",7,10)</f>
        <v>586.95000000000005</v>
      </c>
      <c r="E103" s="1431" t="str">
        <f t="shared" si="26"/>
        <v/>
      </c>
      <c r="F103" s="1364" t="str">
        <f t="shared" si="27"/>
        <v/>
      </c>
      <c r="G103" s="1364" t="str">
        <f t="shared" si="28"/>
        <v/>
      </c>
      <c r="H103" s="1364" t="str">
        <f t="shared" si="29"/>
        <v/>
      </c>
      <c r="I103" s="1364" t="str">
        <f t="shared" si="30"/>
        <v/>
      </c>
      <c r="J103" s="1364" t="str">
        <f t="shared" si="31"/>
        <v/>
      </c>
      <c r="K103" s="1364" t="str">
        <f t="shared" si="32"/>
        <v/>
      </c>
      <c r="L103" s="1364" t="str">
        <f t="shared" si="33"/>
        <v/>
      </c>
      <c r="M103" s="1364">
        <f t="shared" si="34"/>
        <v>586.95000000000005</v>
      </c>
      <c r="N103" s="13">
        <f t="shared" ref="N103:S104" si="38">N102</f>
        <v>1.9823257080610023E-2</v>
      </c>
      <c r="O103" s="13">
        <f t="shared" si="38"/>
        <v>138.46648284313724</v>
      </c>
      <c r="P103" s="13">
        <f t="shared" si="38"/>
        <v>272.20242034313725</v>
      </c>
      <c r="Q103" s="13">
        <f t="shared" si="38"/>
        <v>7.929302832244009E-3</v>
      </c>
      <c r="R103" s="13">
        <f t="shared" si="38"/>
        <v>55.386593137254899</v>
      </c>
      <c r="S103" s="13">
        <f t="shared" si="38"/>
        <v>114.88096813725491</v>
      </c>
      <c r="U103" s="13" t="str">
        <f t="shared" si="23"/>
        <v/>
      </c>
      <c r="V103" s="13" t="str">
        <f t="shared" si="24"/>
        <v/>
      </c>
      <c r="W103" s="13" t="str">
        <f t="shared" si="36"/>
        <v/>
      </c>
    </row>
    <row r="104" spans="1:23" x14ac:dyDescent="0.25">
      <c r="A104" s="1363">
        <v>1</v>
      </c>
      <c r="B104" s="13">
        <f t="shared" si="25"/>
        <v>8.2000000000000003E-2</v>
      </c>
      <c r="C104" s="1364">
        <f>$B$106*B312+$C$106*C312+$D$106*D312+$E$106*E312+$F$106*F312+$G$106*G312+$H$106*H312+$I$106*I312+$J$106*J312+$K$106*K312+$L$106*L312+$M$106*M312</f>
        <v>179.6</v>
      </c>
      <c r="D104" s="1431">
        <f>B104*'Рейтинг МКД'!$D$11+'кривые-экспресс'!C104+IF('Рейтинг МКД'!$D$15="нет",7,10)</f>
        <v>660.07500000000005</v>
      </c>
      <c r="E104" s="1431" t="str">
        <f t="shared" si="26"/>
        <v/>
      </c>
      <c r="F104" s="1364" t="str">
        <f t="shared" si="27"/>
        <v/>
      </c>
      <c r="G104" s="1364" t="str">
        <f t="shared" si="28"/>
        <v/>
      </c>
      <c r="H104" s="1364" t="str">
        <f t="shared" si="29"/>
        <v/>
      </c>
      <c r="I104" s="1364" t="str">
        <f t="shared" si="30"/>
        <v/>
      </c>
      <c r="J104" s="1364" t="str">
        <f t="shared" si="31"/>
        <v/>
      </c>
      <c r="K104" s="1364" t="str">
        <f t="shared" si="32"/>
        <v/>
      </c>
      <c r="L104" s="1364" t="str">
        <f t="shared" si="33"/>
        <v/>
      </c>
      <c r="M104" s="1364">
        <f t="shared" si="34"/>
        <v>660.07500000000005</v>
      </c>
      <c r="N104" s="13">
        <f t="shared" si="38"/>
        <v>1.9823257080610023E-2</v>
      </c>
      <c r="O104" s="13">
        <f t="shared" si="38"/>
        <v>138.46648284313724</v>
      </c>
      <c r="P104" s="13">
        <f t="shared" si="38"/>
        <v>272.20242034313725</v>
      </c>
      <c r="Q104" s="13">
        <f t="shared" si="38"/>
        <v>7.929302832244009E-3</v>
      </c>
      <c r="R104" s="13">
        <f t="shared" si="38"/>
        <v>55.386593137254899</v>
      </c>
      <c r="S104" s="13">
        <f t="shared" si="38"/>
        <v>114.88096813725491</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1</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f>AVERAGE('классы ЭЭ и выбросы ПГ'!$Y$47)</f>
        <v>3.2586120722798921E-2</v>
      </c>
      <c r="C210" s="13">
        <f>B210</f>
        <v>3.2586120722798921E-2</v>
      </c>
      <c r="D210" s="13">
        <f>AVERAGE('классы ЭЭ и выбросы ПГ'!$Z$47:$AA$47)</f>
        <v>2.8512351018838908E-2</v>
      </c>
      <c r="E210" s="13">
        <f>D210</f>
        <v>2.8512351018838908E-2</v>
      </c>
      <c r="F210" s="13">
        <f>AVERAGE('классы ЭЭ и выбросы ПГ'!$AB$47:$AC$47)</f>
        <v>2.3083685761886453E-2</v>
      </c>
      <c r="G210" s="13">
        <f>F210</f>
        <v>2.3083685761886453E-2</v>
      </c>
      <c r="H210" s="13">
        <f>AVERAGE('классы ЭЭ и выбросы ПГ'!$AD$47:$AE$47)</f>
        <v>2.0908384595668333E-2</v>
      </c>
      <c r="I210" s="13">
        <f>H210</f>
        <v>2.0908384595668333E-2</v>
      </c>
      <c r="J210" s="13">
        <f>AVERAGE('классы ЭЭ и выбросы ПГ'!$AF$47:$AG$47)</f>
        <v>1.9823257080610023E-2</v>
      </c>
      <c r="K210" s="13">
        <f>J210</f>
        <v>1.9823257080610023E-2</v>
      </c>
      <c r="L210" s="13">
        <f>AVERAGE('классы ЭЭ и выбросы ПГ'!$AH$47:$AN$47)</f>
        <v>1.8488999957281389E-2</v>
      </c>
      <c r="M210" s="13">
        <f>L210</f>
        <v>1.8488999957281389E-2</v>
      </c>
    </row>
    <row r="211" spans="1:13" x14ac:dyDescent="0.25">
      <c r="A211" s="13" t="s">
        <v>1855</v>
      </c>
      <c r="B211" s="13">
        <f>0.4*B210</f>
        <v>1.3034448289119569E-2</v>
      </c>
      <c r="C211" s="13">
        <f t="shared" ref="C211:M211" si="39">0.4*C210</f>
        <v>1.3034448289119569E-2</v>
      </c>
      <c r="D211" s="13">
        <f t="shared" si="39"/>
        <v>1.1404940407535563E-2</v>
      </c>
      <c r="E211" s="13">
        <f t="shared" si="39"/>
        <v>1.1404940407535563E-2</v>
      </c>
      <c r="F211" s="13">
        <f t="shared" si="39"/>
        <v>9.2334743047545811E-3</v>
      </c>
      <c r="G211" s="13">
        <f t="shared" si="39"/>
        <v>9.2334743047545811E-3</v>
      </c>
      <c r="H211" s="13">
        <f t="shared" si="39"/>
        <v>8.3633538382673327E-3</v>
      </c>
      <c r="I211" s="13">
        <f t="shared" si="39"/>
        <v>8.3633538382673327E-3</v>
      </c>
      <c r="J211" s="13">
        <f t="shared" si="39"/>
        <v>7.929302832244009E-3</v>
      </c>
      <c r="K211" s="13">
        <f t="shared" si="39"/>
        <v>7.929302832244009E-3</v>
      </c>
      <c r="L211" s="13">
        <f t="shared" si="39"/>
        <v>7.3955999829125561E-3</v>
      </c>
      <c r="M211" s="13">
        <f t="shared" si="39"/>
        <v>7.3955999829125561E-3</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f>AVERAGE('классы ЭЭ и выбросы ПГ'!$Y$48)</f>
        <v>108.26115196078433</v>
      </c>
      <c r="C315" s="13">
        <f>B315</f>
        <v>108.26115196078433</v>
      </c>
      <c r="D315" s="13">
        <f>AVERAGE('классы ЭЭ и выбросы ПГ'!$Z$48:$AA$48)</f>
        <v>113.71243872549022</v>
      </c>
      <c r="E315" s="13">
        <f>D315</f>
        <v>113.71243872549022</v>
      </c>
      <c r="F315" s="13">
        <f>AVERAGE('классы ЭЭ и выбросы ПГ'!$AB$48:$AC$48)</f>
        <v>132.91914828431374</v>
      </c>
      <c r="G315" s="13">
        <f>F315</f>
        <v>132.91914828431374</v>
      </c>
      <c r="H315" s="13">
        <f>AVERAGE('классы ЭЭ и выбросы ПГ'!$AD$48:$AE$48)</f>
        <v>138.61384803921567</v>
      </c>
      <c r="I315" s="13">
        <f>H315</f>
        <v>138.61384803921567</v>
      </c>
      <c r="J315" s="13">
        <f>AVERAGE('классы ЭЭ и выбросы ПГ'!$AF$48:$AG$48)</f>
        <v>138.46648284313724</v>
      </c>
      <c r="K315" s="13">
        <f>J315</f>
        <v>138.46648284313724</v>
      </c>
      <c r="L315" s="13">
        <f>AVERAGE('классы ЭЭ и выбросы ПГ'!$AH$48:$AN$48)</f>
        <v>138.15710784313725</v>
      </c>
      <c r="M315" s="13">
        <f>L315</f>
        <v>138.15710784313725</v>
      </c>
    </row>
    <row r="316" spans="1:14" x14ac:dyDescent="0.25">
      <c r="A316" s="13" t="s">
        <v>1855</v>
      </c>
      <c r="B316" s="13">
        <f t="shared" ref="B316:M316" si="42">0.4*B315</f>
        <v>43.304460784313733</v>
      </c>
      <c r="C316" s="13">
        <f t="shared" si="42"/>
        <v>43.304460784313733</v>
      </c>
      <c r="D316" s="13">
        <f t="shared" si="42"/>
        <v>45.484975490196092</v>
      </c>
      <c r="E316" s="13">
        <f t="shared" si="42"/>
        <v>45.484975490196092</v>
      </c>
      <c r="F316" s="13">
        <f t="shared" si="42"/>
        <v>53.167659313725494</v>
      </c>
      <c r="G316" s="13">
        <f t="shared" si="42"/>
        <v>53.167659313725494</v>
      </c>
      <c r="H316" s="13">
        <f t="shared" si="42"/>
        <v>55.445539215686267</v>
      </c>
      <c r="I316" s="13">
        <f t="shared" si="42"/>
        <v>55.445539215686267</v>
      </c>
      <c r="J316" s="13">
        <f t="shared" si="42"/>
        <v>55.386593137254899</v>
      </c>
      <c r="K316" s="13">
        <f t="shared" si="42"/>
        <v>55.386593137254899</v>
      </c>
      <c r="L316" s="13">
        <f t="shared" si="42"/>
        <v>55.262843137254904</v>
      </c>
      <c r="M316" s="13">
        <f t="shared" si="42"/>
        <v>55.262843137254904</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2.8000000000000001E-2</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2.8000000000000001E-2</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2.9000000000000001E-2</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2.9000000000000001E-2</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0.03</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3.1E-2</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3.2000000000000001E-2</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3.2000000000000001E-2</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3.3000000000000002E-2</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3.3000000000000002E-2</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3.4000000000000002E-2</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3.4000000000000002E-2</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3.5000000000000003E-2</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3.5000000000000003E-2</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3.5999999999999997E-2</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3.5999999999999997E-2</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3.5999999999999997E-2</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3.5999999999999997E-2</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3.6999999999999998E-2</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3.6999999999999998E-2</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3.7999999999999999E-2</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3.7999999999999999E-2</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3.9E-2</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3.9E-2</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0.04</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0.04</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0.04</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0.04</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4.1000000000000002E-2</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4.1000000000000002E-2</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4.1000000000000002E-2</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4.1000000000000002E-2</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4.2000000000000003E-2</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4.2000000000000003E-2</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4.2999999999999997E-2</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4.2999999999999997E-2</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4.2999999999999997E-2</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4.2999999999999997E-2</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4.3999999999999997E-2</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4.3999999999999997E-2</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4.4999999999999998E-2</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4.4999999999999998E-2</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4.4999999999999998E-2</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4.4999999999999998E-2</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4.5999999999999999E-2</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4.5999999999999999E-2</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4.5999999999999999E-2</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4.5999999999999999E-2</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4.7E-2</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4.7E-2</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4.8000000000000001E-2</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4.8000000000000001E-2</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4.8000000000000001E-2</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4.8000000000000001E-2</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4.9000000000000002E-2</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4.9000000000000002E-2</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4.9000000000000002E-2</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4.9000000000000002E-2</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0.05</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0.05</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0.05</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0.05</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5.0999999999999997E-2</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5.0999999999999997E-2</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5.0999999999999997E-2</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5.0999999999999997E-2</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5.1999999999999998E-2</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5.1999999999999998E-2</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5.2999999999999999E-2</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5.2999999999999999E-2</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5.3999999999999999E-2</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5.3999999999999999E-2</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5.3999999999999999E-2</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5.3999999999999999E-2</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5.5E-2</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5.5E-2</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5.6000000000000001E-2</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5.6000000000000001E-2</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5.8000000000000003E-2</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5.8000000000000003E-2</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5.8000000000000003E-2</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5.8000000000000003E-2</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5.8999999999999997E-2</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5.8999999999999997E-2</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0.06</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0.06</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6.2E-2</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6.2E-2</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6.4000000000000001E-2</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6.4000000000000001E-2</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6.6000000000000003E-2</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6.6000000000000003E-2</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6.9000000000000006E-2</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6.9000000000000006E-2</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7.0999999999999994E-2</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7.1999999999999995E-2</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7.2999999999999995E-2</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7.4999999999999997E-2</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7.8E-2</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9.4E-2</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0.12</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5.0411866321984848E-2</v>
      </c>
    </row>
    <row r="420" spans="1:14" x14ac:dyDescent="0.25">
      <c r="A420" s="13" t="s">
        <v>1856</v>
      </c>
      <c r="B420" s="13">
        <f>AVERAGE('классы ЭЭ и выбросы ПГ'!$Y$45)</f>
        <v>5.3198086206160025E-2</v>
      </c>
      <c r="C420" s="13">
        <f>B420</f>
        <v>5.3198086206160025E-2</v>
      </c>
      <c r="D420" s="13">
        <f>AVERAGE('классы ЭЭ и выбросы ПГ'!$Z$45:$AA$45)</f>
        <v>5.0074431842453762E-2</v>
      </c>
      <c r="E420" s="13">
        <f>D420</f>
        <v>5.0074431842453762E-2</v>
      </c>
      <c r="F420" s="13">
        <f>AVERAGE('классы ЭЭ и выбросы ПГ'!$AB$45:$AC$45)</f>
        <v>4.7993341236276646E-2</v>
      </c>
      <c r="G420" s="13">
        <f>F420</f>
        <v>4.7993341236276646E-2</v>
      </c>
      <c r="H420" s="13">
        <f>AVERAGE('классы ЭЭ и выбросы ПГ'!$AD$45:$AE$45)</f>
        <v>4.6810580332350804E-2</v>
      </c>
      <c r="I420" s="13">
        <f>H420</f>
        <v>4.6810580332350804E-2</v>
      </c>
      <c r="J420" s="13">
        <f>AVERAGE('классы ЭЭ и выбросы ПГ'!$AF$45:$AG$45)</f>
        <v>4.569976825152719E-2</v>
      </c>
      <c r="K420" s="13">
        <f>J420</f>
        <v>4.569976825152719E-2</v>
      </c>
      <c r="L420" s="13">
        <f>AVERAGE('классы ЭЭ и выбросы ПГ'!$AH$45:$AN$45)</f>
        <v>4.4311589559571103E-2</v>
      </c>
      <c r="M420" s="13">
        <f>L420</f>
        <v>4.4311589559571103E-2</v>
      </c>
      <c r="N420" s="13">
        <f t="shared" si="44"/>
        <v>4.569976825152719E-2</v>
      </c>
    </row>
    <row r="421" spans="1:14" x14ac:dyDescent="0.25">
      <c r="A421" s="13" t="s">
        <v>1855</v>
      </c>
      <c r="B421" s="13">
        <f t="shared" ref="B421:M421" si="45">0.4*B420</f>
        <v>2.1279234482464011E-2</v>
      </c>
      <c r="C421" s="13">
        <f t="shared" si="45"/>
        <v>2.1279234482464011E-2</v>
      </c>
      <c r="D421" s="13">
        <f t="shared" si="45"/>
        <v>2.0029772736981505E-2</v>
      </c>
      <c r="E421" s="13">
        <f t="shared" si="45"/>
        <v>2.0029772736981505E-2</v>
      </c>
      <c r="F421" s="13">
        <f t="shared" si="45"/>
        <v>1.919733649451066E-2</v>
      </c>
      <c r="G421" s="13">
        <f t="shared" si="45"/>
        <v>1.919733649451066E-2</v>
      </c>
      <c r="H421" s="13">
        <f t="shared" si="45"/>
        <v>1.8724232132940322E-2</v>
      </c>
      <c r="I421" s="13">
        <f t="shared" si="45"/>
        <v>1.8724232132940322E-2</v>
      </c>
      <c r="J421" s="13">
        <f t="shared" si="45"/>
        <v>1.8279907300610878E-2</v>
      </c>
      <c r="K421" s="13">
        <f t="shared" si="45"/>
        <v>1.8279907300610878E-2</v>
      </c>
      <c r="L421" s="13">
        <f t="shared" si="45"/>
        <v>1.7724635823828442E-2</v>
      </c>
      <c r="M421" s="13">
        <f t="shared" si="45"/>
        <v>1.7724635823828442E-2</v>
      </c>
      <c r="N421" s="13">
        <f t="shared" si="44"/>
        <v>1.8279907300610878E-2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f t="shared" ref="B423:M423" si="46">0.4*B420</f>
        <v>2.1279234482464011E-2</v>
      </c>
      <c r="C423" s="13">
        <f t="shared" si="46"/>
        <v>2.1279234482464011E-2</v>
      </c>
      <c r="D423" s="13">
        <f t="shared" si="46"/>
        <v>2.0029772736981505E-2</v>
      </c>
      <c r="E423" s="13">
        <f t="shared" si="46"/>
        <v>2.0029772736981505E-2</v>
      </c>
      <c r="F423" s="13">
        <f t="shared" si="46"/>
        <v>1.919733649451066E-2</v>
      </c>
      <c r="G423" s="13">
        <f t="shared" si="46"/>
        <v>1.919733649451066E-2</v>
      </c>
      <c r="H423" s="13">
        <f t="shared" si="46"/>
        <v>1.8724232132940322E-2</v>
      </c>
      <c r="I423" s="13">
        <f t="shared" si="46"/>
        <v>1.8724232132940322E-2</v>
      </c>
      <c r="J423" s="13">
        <f t="shared" si="46"/>
        <v>1.8279907300610878E-2</v>
      </c>
      <c r="K423" s="13">
        <f t="shared" si="46"/>
        <v>1.8279907300610878E-2</v>
      </c>
      <c r="L423" s="13">
        <f t="shared" si="46"/>
        <v>1.7724635823828442E-2</v>
      </c>
      <c r="M423" s="13">
        <f t="shared" si="46"/>
        <v>1.7724635823828442E-2</v>
      </c>
      <c r="N423" s="13">
        <f>($B$106*B423+$C$106*C423+$D$106*D423+$E$106*E423+$F$106*F423+$G$106*G423+$H$106*H423+$I$106*I423+$J$106*J423+$K$106*K423+$L$106*L423+$M$106*M423)*'Рейтинг МКД'!D11</f>
        <v>104.88096813725491</v>
      </c>
    </row>
    <row r="424" spans="1:14" x14ac:dyDescent="0.25">
      <c r="A424" s="13" t="s">
        <v>1858</v>
      </c>
      <c r="B424" s="13">
        <f t="shared" ref="B424:M424" si="47">0.5*B420</f>
        <v>2.6599043103080013E-2</v>
      </c>
      <c r="C424" s="13">
        <f t="shared" si="47"/>
        <v>2.6599043103080013E-2</v>
      </c>
      <c r="D424" s="13">
        <f t="shared" si="47"/>
        <v>2.5037215921226881E-2</v>
      </c>
      <c r="E424" s="13">
        <f t="shared" si="47"/>
        <v>2.5037215921226881E-2</v>
      </c>
      <c r="F424" s="13">
        <f t="shared" si="47"/>
        <v>2.3996670618138323E-2</v>
      </c>
      <c r="G424" s="13">
        <f t="shared" si="47"/>
        <v>2.3996670618138323E-2</v>
      </c>
      <c r="H424" s="13">
        <f t="shared" si="47"/>
        <v>2.3405290166175402E-2</v>
      </c>
      <c r="I424" s="13">
        <f t="shared" si="47"/>
        <v>2.3405290166175402E-2</v>
      </c>
      <c r="J424" s="13">
        <f t="shared" si="47"/>
        <v>2.2849884125763595E-2</v>
      </c>
      <c r="K424" s="13">
        <f t="shared" si="47"/>
        <v>2.2849884125763595E-2</v>
      </c>
      <c r="L424" s="13">
        <f t="shared" si="47"/>
        <v>2.2155794779785552E-2</v>
      </c>
      <c r="M424" s="13">
        <f t="shared" si="47"/>
        <v>2.2155794779785552E-2</v>
      </c>
      <c r="N424" s="13">
        <f>($B$106*B424+$C$106*C424+$D$106*D424+$E$106*E424+$F$106*F424+$G$106*G424+$H$106*H424+$I$106*I424+$J$106*J424+$K$106*K424+$L$106*L424+$M$106*M424)*'Рейтинг МКД'!D11</f>
        <v>131.10121017156862</v>
      </c>
    </row>
    <row r="425" spans="1:14" x14ac:dyDescent="0.25">
      <c r="A425" s="13" t="s">
        <v>563</v>
      </c>
      <c r="B425" s="13">
        <f t="shared" ref="B425:M425" si="48">0.6*B420</f>
        <v>3.1918851723696011E-2</v>
      </c>
      <c r="C425" s="13">
        <f t="shared" si="48"/>
        <v>3.1918851723696011E-2</v>
      </c>
      <c r="D425" s="13">
        <f t="shared" si="48"/>
        <v>3.0044659105472257E-2</v>
      </c>
      <c r="E425" s="13">
        <f t="shared" si="48"/>
        <v>3.0044659105472257E-2</v>
      </c>
      <c r="F425" s="13">
        <f t="shared" si="48"/>
        <v>2.8796004741765985E-2</v>
      </c>
      <c r="G425" s="13">
        <f t="shared" si="48"/>
        <v>2.8796004741765985E-2</v>
      </c>
      <c r="H425" s="13">
        <f t="shared" si="48"/>
        <v>2.8086348199410482E-2</v>
      </c>
      <c r="I425" s="13">
        <f t="shared" si="48"/>
        <v>2.8086348199410482E-2</v>
      </c>
      <c r="J425" s="13">
        <f t="shared" si="48"/>
        <v>2.7419860950916312E-2</v>
      </c>
      <c r="K425" s="13">
        <f t="shared" si="48"/>
        <v>2.7419860950916312E-2</v>
      </c>
      <c r="L425" s="13">
        <f t="shared" si="48"/>
        <v>2.6586953735742661E-2</v>
      </c>
      <c r="M425" s="13">
        <f t="shared" si="48"/>
        <v>2.6586953735742661E-2</v>
      </c>
      <c r="N425" s="13">
        <f>($B$106*B425+$C$106*C425+$D$106*D425+$E$106*E425+$F$106*F425+$G$106*G425+$H$106*H425+$I$106*I425+$J$106*J425+$K$106*K425+$L$106*L425+$M$106*M425)*'Рейтинг МКД'!D11</f>
        <v>157.32145220588234</v>
      </c>
    </row>
    <row r="426" spans="1:14" x14ac:dyDescent="0.25">
      <c r="A426" s="13" t="s">
        <v>1789</v>
      </c>
      <c r="B426" s="13">
        <f t="shared" ref="B426:M426" si="49">0.7*B420</f>
        <v>3.7238660344312016E-2</v>
      </c>
      <c r="C426" s="13">
        <f t="shared" si="49"/>
        <v>3.7238660344312016E-2</v>
      </c>
      <c r="D426" s="13">
        <f t="shared" si="49"/>
        <v>3.5052102289717633E-2</v>
      </c>
      <c r="E426" s="13">
        <f t="shared" si="49"/>
        <v>3.5052102289717633E-2</v>
      </c>
      <c r="F426" s="13">
        <f t="shared" si="49"/>
        <v>3.3595338865393648E-2</v>
      </c>
      <c r="G426" s="13">
        <f t="shared" si="49"/>
        <v>3.3595338865393648E-2</v>
      </c>
      <c r="H426" s="13">
        <f t="shared" si="49"/>
        <v>3.2767406232645561E-2</v>
      </c>
      <c r="I426" s="13">
        <f t="shared" si="49"/>
        <v>3.2767406232645561E-2</v>
      </c>
      <c r="J426" s="13">
        <f t="shared" si="49"/>
        <v>3.1989837776069029E-2</v>
      </c>
      <c r="K426" s="13">
        <f t="shared" si="49"/>
        <v>3.1989837776069029E-2</v>
      </c>
      <c r="L426" s="13">
        <f t="shared" si="49"/>
        <v>3.1018112691699771E-2</v>
      </c>
      <c r="M426" s="13">
        <f t="shared" si="49"/>
        <v>3.1018112691699771E-2</v>
      </c>
      <c r="N426" s="13">
        <f>($B$106*B426+$C$106*C426+$D$106*D426+$E$106*E426+$F$106*F426+$G$106*G426+$H$106*H426+$I$106*I426+$J$106*J426+$K$106*K426+$L$106*L426+$M$106*M426)*'Рейтинг МКД'!D11</f>
        <v>183.54169424019605</v>
      </c>
    </row>
    <row r="427" spans="1:14" x14ac:dyDescent="0.25">
      <c r="A427" s="13" t="s">
        <v>1790</v>
      </c>
      <c r="B427" s="13">
        <f t="shared" ref="B427:M427" si="50">0.85*B420</f>
        <v>4.5218373275236021E-2</v>
      </c>
      <c r="C427" s="13">
        <f t="shared" si="50"/>
        <v>4.5218373275236021E-2</v>
      </c>
      <c r="D427" s="13">
        <f t="shared" si="50"/>
        <v>4.2563267066085694E-2</v>
      </c>
      <c r="E427" s="13">
        <f t="shared" si="50"/>
        <v>4.2563267066085694E-2</v>
      </c>
      <c r="F427" s="13">
        <f t="shared" si="50"/>
        <v>4.0794340050835147E-2</v>
      </c>
      <c r="G427" s="13">
        <f t="shared" si="50"/>
        <v>4.0794340050835147E-2</v>
      </c>
      <c r="H427" s="13">
        <f t="shared" si="50"/>
        <v>3.9788993282498179E-2</v>
      </c>
      <c r="I427" s="13">
        <f t="shared" si="50"/>
        <v>3.9788993282498179E-2</v>
      </c>
      <c r="J427" s="13">
        <f t="shared" si="50"/>
        <v>3.8844803013798113E-2</v>
      </c>
      <c r="K427" s="13">
        <f t="shared" si="50"/>
        <v>3.8844803013798113E-2</v>
      </c>
      <c r="L427" s="13">
        <f t="shared" si="50"/>
        <v>3.7664851125635439E-2</v>
      </c>
      <c r="M427" s="13">
        <f t="shared" si="50"/>
        <v>3.7664851125635439E-2</v>
      </c>
      <c r="N427" s="13">
        <f>($B$106*B427+$C$106*C427+$D$106*D427+$E$106*E427+$F$106*F427+$G$106*G427+$H$106*H427+$I$106*I427+$J$106*J427+$K$106*K427+$L$106*L427+$M$106*M427)*'Рейтинг МКД'!D11</f>
        <v>222.87205729166666</v>
      </c>
    </row>
    <row r="428" spans="1:14" x14ac:dyDescent="0.25">
      <c r="A428" s="13" t="s">
        <v>1791</v>
      </c>
      <c r="B428" s="13">
        <f t="shared" ref="B428:M428" si="51">B420</f>
        <v>5.3198086206160025E-2</v>
      </c>
      <c r="C428" s="13">
        <f t="shared" si="51"/>
        <v>5.3198086206160025E-2</v>
      </c>
      <c r="D428" s="13">
        <f t="shared" si="51"/>
        <v>5.0074431842453762E-2</v>
      </c>
      <c r="E428" s="13">
        <f t="shared" si="51"/>
        <v>5.0074431842453762E-2</v>
      </c>
      <c r="F428" s="13">
        <f t="shared" si="51"/>
        <v>4.7993341236276646E-2</v>
      </c>
      <c r="G428" s="13">
        <f t="shared" si="51"/>
        <v>4.7993341236276646E-2</v>
      </c>
      <c r="H428" s="13">
        <f t="shared" si="51"/>
        <v>4.6810580332350804E-2</v>
      </c>
      <c r="I428" s="13">
        <f t="shared" si="51"/>
        <v>4.6810580332350804E-2</v>
      </c>
      <c r="J428" s="13">
        <f t="shared" si="51"/>
        <v>4.569976825152719E-2</v>
      </c>
      <c r="K428" s="13">
        <f t="shared" si="51"/>
        <v>4.569976825152719E-2</v>
      </c>
      <c r="L428" s="13">
        <f t="shared" si="51"/>
        <v>4.4311589559571103E-2</v>
      </c>
      <c r="M428" s="13">
        <f t="shared" si="51"/>
        <v>4.4311589559571103E-2</v>
      </c>
      <c r="N428" s="13">
        <f>($B$106*B428+$C$106*C428+$D$106*D428+$E$106*E428+$F$106*F428+$G$106*G428+$H$106*H428+$I$106*I428+$J$106*J428+$K$106*K428+$L$106*L428+$M$106*M428)*'Рейтинг МКД'!D11</f>
        <v>262.20242034313725</v>
      </c>
    </row>
    <row r="429" spans="1:14" x14ac:dyDescent="0.25">
      <c r="A429" s="13" t="s">
        <v>1792</v>
      </c>
      <c r="B429" s="13">
        <f t="shared" ref="B429:M429" si="52">B420*1.25</f>
        <v>6.6497607757700028E-2</v>
      </c>
      <c r="C429" s="13">
        <f t="shared" si="52"/>
        <v>6.6497607757700028E-2</v>
      </c>
      <c r="D429" s="13">
        <f t="shared" si="52"/>
        <v>6.2593039803067199E-2</v>
      </c>
      <c r="E429" s="13">
        <f t="shared" si="52"/>
        <v>6.2593039803067199E-2</v>
      </c>
      <c r="F429" s="13">
        <f t="shared" si="52"/>
        <v>5.9991676545345804E-2</v>
      </c>
      <c r="G429" s="13">
        <f t="shared" si="52"/>
        <v>5.9991676545345804E-2</v>
      </c>
      <c r="H429" s="13">
        <f t="shared" si="52"/>
        <v>5.8513225415438505E-2</v>
      </c>
      <c r="I429" s="13">
        <f t="shared" si="52"/>
        <v>5.8513225415438505E-2</v>
      </c>
      <c r="J429" s="13">
        <f t="shared" si="52"/>
        <v>5.7124710314408987E-2</v>
      </c>
      <c r="K429" s="13">
        <f t="shared" si="52"/>
        <v>5.7124710314408987E-2</v>
      </c>
      <c r="L429" s="13">
        <f t="shared" si="52"/>
        <v>5.5389486949463877E-2</v>
      </c>
      <c r="M429" s="13">
        <f t="shared" si="52"/>
        <v>5.5389486949463877E-2</v>
      </c>
      <c r="N429" s="13">
        <f>($B$106*B429+$C$106*C429+$D$106*D429+$E$106*E429+$F$106*F429+$G$106*G429+$H$106*H429+$I$106*I429+$J$106*J429+$K$106*K429+$L$106*L429+$M$106*M429)*'Рейтинг МКД'!D11</f>
        <v>327.75302542892155</v>
      </c>
    </row>
    <row r="430" spans="1:14" x14ac:dyDescent="0.25">
      <c r="A430" s="13" t="s">
        <v>1793</v>
      </c>
      <c r="B430" s="13">
        <f t="shared" ref="B430:M430" si="53">B420*1.5</f>
        <v>7.9797129309240045E-2</v>
      </c>
      <c r="C430" s="13">
        <f t="shared" si="53"/>
        <v>7.9797129309240045E-2</v>
      </c>
      <c r="D430" s="13">
        <f t="shared" si="53"/>
        <v>7.511164776368065E-2</v>
      </c>
      <c r="E430" s="13">
        <f t="shared" si="53"/>
        <v>7.511164776368065E-2</v>
      </c>
      <c r="F430" s="13">
        <f t="shared" si="53"/>
        <v>7.1990011854414976E-2</v>
      </c>
      <c r="G430" s="13">
        <f t="shared" si="53"/>
        <v>7.1990011854414976E-2</v>
      </c>
      <c r="H430" s="13">
        <f t="shared" si="53"/>
        <v>7.0215870498526206E-2</v>
      </c>
      <c r="I430" s="13">
        <f t="shared" si="53"/>
        <v>7.0215870498526206E-2</v>
      </c>
      <c r="J430" s="13">
        <f t="shared" si="53"/>
        <v>6.8549652377290785E-2</v>
      </c>
      <c r="K430" s="13">
        <f t="shared" si="53"/>
        <v>6.8549652377290785E-2</v>
      </c>
      <c r="L430" s="13">
        <f t="shared" si="53"/>
        <v>6.6467384339356658E-2</v>
      </c>
      <c r="M430" s="13">
        <f t="shared" si="53"/>
        <v>6.6467384339356658E-2</v>
      </c>
      <c r="N430" s="13">
        <f>($B$106*B430+$C$106*C430+$D$106*D430+$E$106*E430+$F$106*F430+$G$106*G430+$H$106*H430+$I$106*I430+$J$106*J430+$K$106*K430+$L$106*L430+$M$106*M430)*'Рейтинг МКД'!D11</f>
        <v>393.3036305147059</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95" t="s">
        <v>2081</v>
      </c>
      <c r="B2" s="2595"/>
      <c r="C2" s="2595"/>
      <c r="D2" s="2595"/>
      <c r="E2" s="2595"/>
      <c r="F2" s="2595"/>
    </row>
    <row r="3" spans="1:17" ht="22.5" customHeight="1" x14ac:dyDescent="0.25">
      <c r="A3" s="2602" t="s">
        <v>2082</v>
      </c>
      <c r="B3" s="2603" t="s">
        <v>2033</v>
      </c>
      <c r="C3" s="2603" t="s">
        <v>2029</v>
      </c>
      <c r="D3" s="2604" t="s">
        <v>2102</v>
      </c>
      <c r="E3" s="2604"/>
      <c r="F3" s="2604"/>
      <c r="G3" s="1432"/>
      <c r="H3" s="1432"/>
      <c r="I3" s="1432"/>
      <c r="J3" s="1432"/>
      <c r="K3" s="1432"/>
      <c r="L3" s="1432"/>
      <c r="M3" s="1432"/>
      <c r="N3" s="1432"/>
      <c r="O3" s="1432"/>
      <c r="P3" s="1432"/>
      <c r="Q3" s="1432"/>
    </row>
    <row r="4" spans="1:17" ht="19.5" customHeight="1" x14ac:dyDescent="0.25">
      <c r="A4" s="2602"/>
      <c r="B4" s="2603"/>
      <c r="C4" s="2603"/>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95" t="s">
        <v>2083</v>
      </c>
      <c r="B20" s="2595"/>
      <c r="C20" s="2595"/>
      <c r="D20" s="2595"/>
      <c r="E20" s="2595"/>
      <c r="F20" s="2595"/>
      <c r="G20" s="1432"/>
      <c r="H20" s="1432"/>
      <c r="I20" s="1432"/>
      <c r="J20" s="1432"/>
      <c r="K20" s="1432"/>
      <c r="L20" s="1432"/>
      <c r="M20" s="1432"/>
      <c r="N20" s="1432"/>
      <c r="O20" s="1432"/>
      <c r="P20" s="1432"/>
      <c r="Q20" s="1432"/>
    </row>
    <row r="21" spans="1:17" x14ac:dyDescent="0.25">
      <c r="A21" s="1439" t="s">
        <v>829</v>
      </c>
      <c r="B21" s="1440" t="s">
        <v>1157</v>
      </c>
      <c r="C21" s="1440" t="s">
        <v>862</v>
      </c>
      <c r="D21" s="2605" t="s">
        <v>863</v>
      </c>
      <c r="E21" s="2606"/>
      <c r="F21" s="2607"/>
      <c r="G21" s="1432"/>
      <c r="H21" s="1432"/>
      <c r="I21" s="1432"/>
      <c r="J21" s="1432"/>
      <c r="K21" s="1432"/>
      <c r="L21" s="1432"/>
      <c r="M21" s="1432"/>
      <c r="N21" s="1432"/>
      <c r="O21" s="1432"/>
      <c r="P21" s="1432"/>
      <c r="Q21" s="1432"/>
    </row>
    <row r="22" spans="1:17" s="13" customFormat="1" ht="14.45" customHeight="1" x14ac:dyDescent="0.25">
      <c r="A22" s="2599" t="s">
        <v>2045</v>
      </c>
      <c r="B22" s="2600"/>
      <c r="C22" s="2600"/>
      <c r="D22" s="2600"/>
      <c r="E22" s="2600"/>
      <c r="F22" s="2601"/>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-1.6793248945147679</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237</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5688</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-35</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126</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7566.1</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60.048412698412704</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486</v>
      </c>
      <c r="D34" s="2596"/>
      <c r="E34" s="2597"/>
      <c r="F34" s="2598"/>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3.8571428571428572</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258</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2.0476190476190474</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29.325968992248068</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440.10936913588506</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1146061.6227392848</v>
      </c>
      <c r="D41" s="1492"/>
      <c r="E41" s="1488"/>
      <c r="F41" s="1489"/>
      <c r="G41" s="1432"/>
      <c r="H41" s="1432"/>
      <c r="I41" s="1432"/>
      <c r="J41" s="1432"/>
      <c r="K41" s="1432"/>
      <c r="L41" s="1432"/>
      <c r="M41" s="1432"/>
      <c r="N41" s="1432"/>
      <c r="O41" s="1432"/>
      <c r="P41" s="1432"/>
      <c r="Q41" s="1432"/>
    </row>
    <row r="42" spans="1:17" ht="20.100000000000001" customHeight="1" x14ac:dyDescent="0.25">
      <c r="A42" s="2608" t="s">
        <v>2069</v>
      </c>
      <c r="B42" s="2609"/>
      <c r="C42" s="2609"/>
      <c r="D42" s="2609"/>
      <c r="E42" s="2609"/>
      <c r="F42" s="2610"/>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26.712110271777057</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201.48762706386864</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23.500369667023257</v>
      </c>
      <c r="D45" s="2614" t="s">
        <v>2107</v>
      </c>
      <c r="E45" s="2615"/>
      <c r="F45" s="2616"/>
      <c r="G45" s="1432"/>
      <c r="H45" s="1432"/>
      <c r="I45" s="1432"/>
      <c r="J45" s="1432"/>
      <c r="K45" s="1432"/>
      <c r="L45" s="1432"/>
      <c r="M45" s="1432"/>
      <c r="N45" s="1432"/>
      <c r="O45" s="1432"/>
      <c r="P45" s="1432"/>
      <c r="Q45" s="1432"/>
    </row>
    <row r="46" spans="1:17" ht="16.5" customHeight="1" x14ac:dyDescent="0.25">
      <c r="A46" s="2611" t="s">
        <v>2103</v>
      </c>
      <c r="B46" s="2612"/>
      <c r="C46" s="2612"/>
      <c r="D46" s="2612"/>
      <c r="E46" s="2612"/>
      <c r="F46" s="2613"/>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180.14523809523811</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61.428571428571423</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180.14523809523811</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-0.21209744998371804</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-212.09744998371804</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586" t="s">
        <v>2121</v>
      </c>
      <c r="E53" s="2587"/>
      <c r="F53" s="2588"/>
      <c r="G53" s="1432"/>
      <c r="H53" s="1432"/>
      <c r="I53" s="1432"/>
      <c r="J53" s="1432"/>
      <c r="K53" s="1432"/>
      <c r="L53" s="1432"/>
      <c r="M53" s="1432"/>
      <c r="N53" s="1432"/>
      <c r="O53" s="1432"/>
      <c r="P53" s="1432"/>
      <c r="Q53" s="1432"/>
    </row>
    <row r="54" spans="1:17" ht="17.45" customHeight="1" x14ac:dyDescent="0.25">
      <c r="A54" s="2583" t="s">
        <v>2096</v>
      </c>
      <c r="B54" s="2584"/>
      <c r="C54" s="2584"/>
      <c r="D54" s="2584"/>
      <c r="E54" s="2584"/>
      <c r="F54" s="2585"/>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89" t="s">
        <v>2099</v>
      </c>
      <c r="E55" s="2590"/>
      <c r="F55" s="2591"/>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1422</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22680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179172</v>
      </c>
      <c r="D61" s="1487"/>
      <c r="E61" s="1488"/>
      <c r="F61" s="1489"/>
      <c r="G61" s="1432"/>
      <c r="H61" s="1432"/>
      <c r="I61" s="1432"/>
      <c r="J61" s="1432"/>
      <c r="K61" s="1432"/>
      <c r="L61" s="1432"/>
      <c r="M61" s="1432"/>
      <c r="N61" s="1432"/>
      <c r="O61" s="1432"/>
      <c r="P61" s="1432"/>
      <c r="Q61" s="1432"/>
    </row>
    <row r="62" spans="1:17" ht="18" customHeight="1" x14ac:dyDescent="0.25">
      <c r="A62" s="2583" t="s">
        <v>2089</v>
      </c>
      <c r="B62" s="2584"/>
      <c r="C62" s="2584"/>
      <c r="D62" s="2584"/>
      <c r="E62" s="2584"/>
      <c r="F62" s="2585"/>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3.4</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612</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4834.8</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77112</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609184.79999999993</v>
      </c>
      <c r="D69" s="1487"/>
      <c r="E69" s="1488"/>
      <c r="F69" s="1489"/>
      <c r="G69" s="1432"/>
      <c r="H69" s="1432"/>
      <c r="I69" s="1432"/>
      <c r="J69" s="1432"/>
      <c r="K69" s="1432"/>
      <c r="L69" s="1432"/>
      <c r="M69" s="1432"/>
      <c r="N69" s="1432"/>
      <c r="O69" s="1432"/>
      <c r="P69" s="1432"/>
      <c r="Q69" s="1432"/>
    </row>
    <row r="70" spans="1:17" ht="23.45" customHeight="1" x14ac:dyDescent="0.25">
      <c r="A70" s="2583" t="s">
        <v>2086</v>
      </c>
      <c r="B70" s="2584"/>
      <c r="C70" s="2584"/>
      <c r="D70" s="2584"/>
      <c r="E70" s="2584"/>
      <c r="F70" s="2585"/>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486</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126</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26.71211027177706</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440.10936913588506</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173.477709138487</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20.000000000000007</v>
      </c>
      <c r="D76" s="2589" t="s">
        <v>2108</v>
      </c>
      <c r="E76" s="2590"/>
      <c r="F76" s="2591"/>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-4.3053824794263001E-16</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-4.3053824794263001E-13</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-212.09744998371761</v>
      </c>
      <c r="D79" s="2592" t="s">
        <v>2101</v>
      </c>
      <c r="E79" s="2593"/>
      <c r="F79" s="2594"/>
      <c r="G79" s="1432"/>
      <c r="H79" s="1432"/>
      <c r="I79" s="1432"/>
      <c r="J79" s="1432"/>
      <c r="K79" s="1432"/>
      <c r="L79" s="1432"/>
      <c r="M79" s="1432"/>
      <c r="N79" s="1432"/>
      <c r="O79" s="1432"/>
      <c r="P79" s="1432"/>
      <c r="Q79" s="1432"/>
    </row>
    <row r="80" spans="1:17" x14ac:dyDescent="0.25">
      <c r="A80" s="1454" t="s">
        <v>868</v>
      </c>
      <c r="B80" s="1449" t="s">
        <v>1164</v>
      </c>
      <c r="C80" s="1464">
        <f ca="1">(C79/C52)*100</f>
        <v>99.999999999999801</v>
      </c>
      <c r="D80" s="2586"/>
      <c r="E80" s="2587"/>
      <c r="F80" s="2588"/>
      <c r="G80" s="1432"/>
      <c r="H80" s="1432"/>
      <c r="I80" s="1432"/>
      <c r="J80" s="1432"/>
      <c r="K80" s="1432"/>
      <c r="L80" s="1432"/>
      <c r="M80" s="1432"/>
      <c r="N80" s="1432"/>
      <c r="O80" s="1432"/>
      <c r="P80" s="1432"/>
      <c r="Q80" s="1432"/>
    </row>
    <row r="81" spans="1:17" s="13" customFormat="1" ht="21.6" customHeight="1" x14ac:dyDescent="0.25">
      <c r="A81" s="2583" t="s">
        <v>2070</v>
      </c>
      <c r="B81" s="2584"/>
      <c r="C81" s="2584"/>
      <c r="D81" s="2584"/>
      <c r="E81" s="2584"/>
      <c r="F81" s="2585"/>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3.5971225997855072E-13</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2.8417268538305507E-12</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4.5323744757297391E-11</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3.5805758358264939E-10</v>
      </c>
      <c r="D87" s="1487"/>
      <c r="E87" s="1488"/>
      <c r="F87" s="1489"/>
      <c r="G87" s="1432"/>
      <c r="H87" s="1432"/>
      <c r="I87" s="1432"/>
      <c r="J87" s="1432"/>
      <c r="K87" s="1432"/>
      <c r="L87" s="1432"/>
      <c r="M87" s="1432"/>
      <c r="N87" s="1432"/>
      <c r="O87" s="1432"/>
      <c r="P87" s="1432"/>
      <c r="Q87" s="1432"/>
    </row>
    <row r="88" spans="1:17" s="13" customFormat="1" ht="22.5" customHeight="1" x14ac:dyDescent="0.25">
      <c r="A88" s="2583" t="s">
        <v>2090</v>
      </c>
      <c r="B88" s="2584"/>
      <c r="C88" s="2584"/>
      <c r="D88" s="2584"/>
      <c r="E88" s="2584"/>
      <c r="F88" s="2585"/>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1.2230216839270724E-12</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9.6618713030238717E-12</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1.5410073217481113E-10</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1.217395784181008E-9</v>
      </c>
      <c r="D94" s="1487"/>
      <c r="E94" s="1488"/>
      <c r="F94" s="1489"/>
      <c r="G94" s="1432"/>
      <c r="H94" s="1432"/>
      <c r="I94" s="1432"/>
      <c r="J94" s="1432"/>
      <c r="K94" s="1432"/>
      <c r="L94" s="1432"/>
      <c r="M94" s="1432"/>
      <c r="N94" s="1432"/>
      <c r="O94" s="1432"/>
      <c r="P94" s="1432"/>
      <c r="Q94" s="1432"/>
    </row>
    <row r="95" spans="1:17" ht="20.45" customHeight="1" x14ac:dyDescent="0.25">
      <c r="A95" s="2583" t="s">
        <v>2109</v>
      </c>
      <c r="B95" s="2584"/>
      <c r="C95" s="2584"/>
      <c r="D95" s="2584"/>
      <c r="E95" s="2584"/>
      <c r="F95" s="2585"/>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179.99999999999963</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1421.9999999999973</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22679.999999999956</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179171.99999999965</v>
      </c>
      <c r="D101" s="1494"/>
      <c r="E101" s="1495"/>
      <c r="F101" s="1496"/>
    </row>
    <row r="102" spans="1:17" ht="17.45" customHeight="1" x14ac:dyDescent="0.25">
      <c r="A102" s="2583" t="s">
        <v>2111</v>
      </c>
      <c r="B102" s="2584"/>
      <c r="C102" s="2584"/>
      <c r="D102" s="2584"/>
      <c r="E102" s="2584"/>
      <c r="F102" s="2585"/>
    </row>
    <row r="103" spans="1:17" ht="27.95" customHeight="1" x14ac:dyDescent="0.25">
      <c r="A103" s="1466" t="s">
        <v>2112</v>
      </c>
      <c r="B103" s="1460"/>
      <c r="C103" s="1460"/>
      <c r="D103" s="1497"/>
      <c r="E103" s="1498"/>
      <c r="F103" s="1499"/>
    </row>
    <row r="104" spans="1:17" x14ac:dyDescent="0.25">
      <c r="A104" s="1476" t="s">
        <v>2061</v>
      </c>
      <c r="B104" s="1459" t="s">
        <v>1283</v>
      </c>
      <c r="C104" s="1479">
        <f ca="1">C65-C90</f>
        <v>611.99999999999875</v>
      </c>
      <c r="D104" s="1500"/>
      <c r="E104" s="1501"/>
      <c r="F104" s="1502"/>
    </row>
    <row r="105" spans="1:17" x14ac:dyDescent="0.25">
      <c r="A105" s="1477" t="s">
        <v>2062</v>
      </c>
      <c r="B105" s="1449" t="s">
        <v>1283</v>
      </c>
      <c r="C105" s="1463">
        <f ca="1">C66-C91</f>
        <v>4834.7999999999902</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77111.99999999984</v>
      </c>
      <c r="D107" s="1500"/>
      <c r="E107" s="1501"/>
      <c r="F107" s="1502"/>
    </row>
    <row r="108" spans="1:17" x14ac:dyDescent="0.25">
      <c r="A108" s="1477" t="s">
        <v>2062</v>
      </c>
      <c r="B108" s="1449" t="s">
        <v>1283</v>
      </c>
      <c r="C108" s="1463">
        <f ca="1">C69-C94</f>
        <v>609184.79999999877</v>
      </c>
      <c r="D108" s="1494"/>
      <c r="E108" s="1495"/>
      <c r="F108" s="1496"/>
    </row>
    <row r="111" spans="1:17" ht="15.75" x14ac:dyDescent="0.25">
      <c r="A111" s="2595" t="s">
        <v>2080</v>
      </c>
      <c r="B111" s="2595"/>
      <c r="C111" s="2595"/>
    </row>
    <row r="112" spans="1:17" x14ac:dyDescent="0.25">
      <c r="A112" s="1439" t="s">
        <v>829</v>
      </c>
      <c r="B112" s="1440" t="s">
        <v>1157</v>
      </c>
      <c r="C112" s="1440" t="s">
        <v>862</v>
      </c>
    </row>
    <row r="113" spans="1:3" s="13" customFormat="1" x14ac:dyDescent="0.25">
      <c r="A113" s="2599" t="s">
        <v>2091</v>
      </c>
      <c r="B113" s="2600"/>
      <c r="C113" s="2601"/>
    </row>
    <row r="114" spans="1:3" ht="44.1" customHeight="1" x14ac:dyDescent="0.25">
      <c r="A114" s="1450" t="s">
        <v>2115</v>
      </c>
      <c r="B114" s="1443" t="s">
        <v>837</v>
      </c>
      <c r="C114" s="1514">
        <f ca="1">C61</f>
        <v>179172</v>
      </c>
    </row>
    <row r="115" spans="1:3" ht="25.5" x14ac:dyDescent="0.25">
      <c r="A115" s="1434" t="s">
        <v>2116</v>
      </c>
      <c r="B115" s="1443" t="s">
        <v>1283</v>
      </c>
      <c r="C115" s="1514">
        <f ca="1">C69</f>
        <v>609184.79999999993</v>
      </c>
    </row>
    <row r="116" spans="1:3" x14ac:dyDescent="0.25">
      <c r="A116" s="2599" t="s">
        <v>2092</v>
      </c>
      <c r="B116" s="2600"/>
      <c r="C116" s="2601"/>
    </row>
    <row r="117" spans="1:3" ht="25.5" x14ac:dyDescent="0.25">
      <c r="A117" s="1450" t="s">
        <v>2115</v>
      </c>
      <c r="B117" s="1443" t="s">
        <v>837</v>
      </c>
      <c r="C117" s="1514">
        <f ca="1">C87</f>
        <v>3.5805758358264939E-10</v>
      </c>
    </row>
    <row r="118" spans="1:3" ht="25.5" x14ac:dyDescent="0.25">
      <c r="A118" s="1434" t="s">
        <v>2116</v>
      </c>
      <c r="B118" s="1443" t="s">
        <v>1283</v>
      </c>
      <c r="C118" s="1514">
        <f ca="1">C94</f>
        <v>1.217395784181008E-9</v>
      </c>
    </row>
    <row r="119" spans="1:3" ht="28.5" customHeight="1" x14ac:dyDescent="0.25">
      <c r="A119" s="2583" t="s">
        <v>2093</v>
      </c>
      <c r="B119" s="2584"/>
      <c r="C119" s="2585"/>
    </row>
    <row r="120" spans="1:3" x14ac:dyDescent="0.25">
      <c r="A120" s="1515" t="s">
        <v>2120</v>
      </c>
      <c r="B120" s="1517" t="s">
        <v>837</v>
      </c>
      <c r="C120" s="1481">
        <f ca="1">C114-C117</f>
        <v>179171.99999999965</v>
      </c>
    </row>
    <row r="121" spans="1:3" x14ac:dyDescent="0.25">
      <c r="A121" s="1516" t="s">
        <v>868</v>
      </c>
      <c r="B121" s="1518" t="s">
        <v>1164</v>
      </c>
      <c r="C121" s="1519">
        <f ca="1">(C120/C114)*100</f>
        <v>99.999999999999801</v>
      </c>
    </row>
    <row r="122" spans="1:3" x14ac:dyDescent="0.25">
      <c r="A122" s="1515" t="s">
        <v>2114</v>
      </c>
      <c r="B122" s="1517" t="s">
        <v>1283</v>
      </c>
      <c r="C122" s="1481">
        <f ca="1">C115-C118</f>
        <v>609184.79999999877</v>
      </c>
    </row>
    <row r="123" spans="1:3" x14ac:dyDescent="0.25">
      <c r="A123" s="1516" t="s">
        <v>868</v>
      </c>
      <c r="B123" s="1518" t="s">
        <v>1164</v>
      </c>
      <c r="C123" s="1519">
        <f ca="1">(C122/C115)*100</f>
        <v>99.999999999999815</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20:F20"/>
    <mergeCell ref="D45:F45"/>
    <mergeCell ref="D76:F76"/>
    <mergeCell ref="A81:F81"/>
    <mergeCell ref="A88:F88"/>
    <mergeCell ref="A95:F95"/>
    <mergeCell ref="A102:F102"/>
    <mergeCell ref="D21:F21"/>
    <mergeCell ref="A22:F22"/>
    <mergeCell ref="A42:F42"/>
    <mergeCell ref="A46:F46"/>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338" activePane="bottomLeft" state="frozen"/>
      <selection pane="bottomLeft" activeCell="E285" sqref="E285"/>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2500</v>
      </c>
      <c r="D1" s="1774" t="s">
        <v>2501</v>
      </c>
      <c r="E1" s="1931" t="s">
        <v>1570</v>
      </c>
      <c r="F1" s="1979"/>
      <c r="G1" s="1979"/>
      <c r="H1" s="1979"/>
      <c r="I1" s="1979"/>
      <c r="J1" s="1979"/>
      <c r="K1" s="1979"/>
      <c r="L1" s="1979"/>
      <c r="M1" s="1979"/>
      <c r="N1" s="1979"/>
      <c r="O1" s="1979"/>
      <c r="P1" s="1979"/>
      <c r="Q1" s="1979"/>
      <c r="R1" s="1979"/>
      <c r="S1" s="1979"/>
      <c r="T1" s="1979"/>
      <c r="U1" s="1979"/>
      <c r="V1" s="1979"/>
      <c r="W1" s="1979"/>
      <c r="X1" s="1979"/>
      <c r="Y1" s="1979"/>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1988" t="s">
        <v>1663</v>
      </c>
      <c r="D3" s="1989"/>
      <c r="E3" s="9" t="s">
        <v>2438</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1988"/>
      <c r="D4" s="1989"/>
      <c r="E4" s="1851" t="s">
        <v>2439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1988"/>
      <c r="D5" s="1989"/>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1979"/>
      <c r="D6" s="1989"/>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1994" t="s">
        <v>755</v>
      </c>
      <c r="D8" s="1995"/>
      <c r="E8" s="1996"/>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2505</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619</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253</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1986</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tr">
        <f>IF(ISBLANK(D12),
        INDEX(snipyear,1),
        IF(D12&lt;=1996,
                INDEX(snipyear,2),
                IF(D12&lt;2001,
                        INDEX(snipyear,3),
                        INDEX(snipyear,4))))</f>
        <v>до 1995 г.</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14">
        <f t="shared" si="0"/>
        <v>7</v>
      </c>
      <c r="C15" s="2029"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19"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14"/>
      <c r="C16" s="2029"/>
      <c r="D16" s="1595" t="s">
        <v>919</v>
      </c>
      <c r="E16" s="2019"/>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4</v>
      </c>
      <c r="E17" s="1983"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30" t="s">
        <v>2150</v>
      </c>
      <c r="D18" s="1614"/>
      <c r="E18" s="1983"/>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31"/>
      <c r="D19" s="1262">
        <v>9</v>
      </c>
      <c r="E19" s="1983"/>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126</v>
      </c>
      <c r="E20" s="1983"/>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106</v>
      </c>
      <c r="E21" s="1984"/>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258</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c r="E23" s="2032" t="s">
        <v>2141</v>
      </c>
      <c r="F23" s="1990"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1991"/>
      <c r="H23" s="1991"/>
      <c r="I23" s="1991"/>
      <c r="J23" s="1991"/>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c r="E24" s="2033"/>
      <c r="F24" s="1992"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c r="E25" s="2033"/>
      <c r="F25" s="1992"/>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c r="E26" s="2034"/>
      <c r="F26" s="1992"/>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1980"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1981"/>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1982"/>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61</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c r="E33" s="1983"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v>61</v>
      </c>
      <c r="E34" s="1983"/>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c r="E35" s="2020"/>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24" t="s">
        <v>2390</v>
      </c>
      <c r="D38" s="2024"/>
      <c r="E38" s="2024"/>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2502</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1985"/>
      <c r="D40" s="1985"/>
      <c r="E40" s="1985"/>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26"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27"/>
      <c r="E41" s="2028"/>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2" t="s">
        <v>2146</v>
      </c>
      <c r="D42" s="1775" t="s">
        <v>759</v>
      </c>
      <c r="E42" s="2035"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36"/>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25" t="s">
        <v>2469</v>
      </c>
      <c r="D44" s="2025"/>
      <c r="E44" s="2025"/>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1994" t="s">
        <v>2470</v>
      </c>
      <c r="D53" s="1995"/>
      <c r="E53" s="1996"/>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3"/>
      <c r="D54" s="1913"/>
      <c r="E54" s="1914"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3">
        <v>8705.1</v>
      </c>
      <c r="E55" s="1580" t="s">
        <v>1666</v>
      </c>
      <c r="F55" s="1310"/>
      <c r="G55" s="1249">
        <f>IF(D42="Ориентировочный",D45,IF($D$14=списки!$B$3,D55,'Серии планировка'!F76))</f>
        <v>8705.1</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4">
        <v>7566.1</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7566.1</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4">
        <v>4604.3999999999996</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4604.3999999999996</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5">
        <v>97.44</v>
      </c>
      <c r="E58" s="1581" t="s">
        <v>1774</v>
      </c>
      <c r="F58" s="1310"/>
      <c r="G58" s="1249">
        <f>IF(D42="Ориентировочный",'Серии планировка'!C98,IF($D$14=списки!$B$3,D58,'Серии планировка'!$L$76))</f>
        <v>97.44</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5">
        <v>13.76</v>
      </c>
      <c r="E59" s="1581" t="s">
        <v>1775</v>
      </c>
      <c r="F59" s="1310"/>
      <c r="G59" s="1249">
        <f>IF(D42="Ориентировочный",'Серии планировка'!C99,IF($D$14=списки!$B$3,D59,'Серии планировка'!$M$76))</f>
        <v>13.76</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5">
        <v>25.3</v>
      </c>
      <c r="E60" s="1581" t="s">
        <v>1776</v>
      </c>
      <c r="F60" s="1310"/>
      <c r="G60" s="1249">
        <f>IF(D42="Ориентировочный",'Серии планировка'!C100,IF($D$14=списки!$B$3,D60,'Серии планировка'!$J$76))</f>
        <v>25.3</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5">
        <v>6501.0879999999997</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6501.0879999999997</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5294.8379999999997</v>
      </c>
      <c r="E62" s="1781" t="s">
        <v>1669</v>
      </c>
      <c r="F62" s="1310" t="str">
        <f>IF(AND(D62&lt;&gt;0,$D$14="нет в списке",D62&gt;=D61),"Ошибка. Значение должно быть меньше площади фасадов","")</f>
        <v/>
      </c>
      <c r="G62" s="1249">
        <f>G61-G64-G67-G70-G77</f>
        <v>5294.8379999999997</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6">
        <v>486</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486</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7">
        <v>1111.5</v>
      </c>
      <c r="E64" s="1581" t="s">
        <v>1671</v>
      </c>
      <c r="F64" s="1310"/>
      <c r="G64" s="1249">
        <f>IF(D42="Ориентировочный",'Серии планировка'!C86,IF($D$14=списки!$B$3,D64,'Серии планировка'!T76))</f>
        <v>1111.5</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08" t="s">
        <v>2506</v>
      </c>
      <c r="E65" s="1581" t="s">
        <v>1672</v>
      </c>
      <c r="F65" s="1310"/>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08">
        <v>61</v>
      </c>
      <c r="E66" s="1581" t="s">
        <v>1746</v>
      </c>
      <c r="F66" s="1310"/>
      <c r="G66" s="1249">
        <f>IF(D42="Ориентировочный",D46,IF($D$14=списки!$B$3,D66,'Серии планировка'!R76))</f>
        <v>61</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09">
        <v>59.65</v>
      </c>
      <c r="E67" s="1581" t="s">
        <v>1673</v>
      </c>
      <c r="F67" s="1310"/>
      <c r="G67" s="1249">
        <f>IF(D42="Ориентировочный",'Серии планировка'!C88,IF($D$14=списки!$B$3,D67,'Серии планировка'!U76))</f>
        <v>59.65</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08" t="s">
        <v>2506</v>
      </c>
      <c r="E68" s="1581" t="s">
        <v>2356</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0">
        <v>0</v>
      </c>
      <c r="E69" s="1581" t="s">
        <v>1674</v>
      </c>
      <c r="F69" s="1310"/>
      <c r="G69" s="1249">
        <f>IF(D42="Ориентировочный",D48,IF($D$14=списки!$B$3,D69,ROUND((G63+G66)/D19*D23/('Серии планировка'!F76/'Серии планировка'!D76),0)))</f>
        <v>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09">
        <v>0</v>
      </c>
      <c r="E70" s="1581" t="s">
        <v>1673</v>
      </c>
      <c r="F70" s="1310"/>
      <c r="G70" s="1249">
        <f>IF(D42="Ориентировочный",'Серии планировка'!C90,IF($D$14=списки!$B$3,D70,(G64+G67)/D19*D23/('Серии планировка'!F76/'Серии планировка'!D76)))</f>
        <v>0</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09">
        <v>0</v>
      </c>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09">
        <v>0</v>
      </c>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09">
        <v>1246.7</v>
      </c>
      <c r="E73" s="1581" t="s">
        <v>1937</v>
      </c>
      <c r="F73" s="1310"/>
      <c r="G73" s="1249">
        <f>IF(D42="Ориентировочный",'Серии планировка'!C93,IF($D$14=списки!$B$3,D73,IF(AND(списки!D31=1,списки!D32=1),'Серии планировка'!X76,0)))</f>
        <v>1246.7</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2351</v>
      </c>
      <c r="D74" s="1909">
        <v>1246.7</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1246.7</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09">
        <v>0</v>
      </c>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0">
        <v>14</v>
      </c>
      <c r="E76" s="2015"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14</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1">
        <v>35.1</v>
      </c>
      <c r="E77" s="2016"/>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35.1</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1993" t="str">
        <f>IFERROR(IF(D23/G55&gt;0.1,"Доля площади нежилых помещений более 10%. Оценка потенциала не будет надежной."&amp;CHAR(10)&amp;"(см. подробнее в руководстве)",""),"")</f>
        <v/>
      </c>
      <c r="D78" s="1993"/>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1994" t="s">
        <v>2471</v>
      </c>
      <c r="D80" s="1995"/>
      <c r="E80" s="1996"/>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1"/>
      <c r="E81" s="2021"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3"/>
      <c r="E82" s="2022"/>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3"/>
      <c r="E83" s="2022"/>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3"/>
      <c r="E84" s="2022"/>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3"/>
      <c r="E85" s="2022"/>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3"/>
      <c r="E86" s="2022"/>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2"/>
      <c r="E87" s="2023"/>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2" t="s">
        <v>2426</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87" t="s">
        <v>2477</v>
      </c>
      <c r="D90" s="1987"/>
      <c r="E90" s="1987"/>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18" t="s">
        <v>763</v>
      </c>
      <c r="D91" s="2018"/>
      <c r="E91" s="2018"/>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17" t="s">
        <v>2427</v>
      </c>
      <c r="D93" s="2017"/>
      <c r="E93" s="2017"/>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2460</v>
      </c>
      <c r="D94" s="1852"/>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2461</v>
      </c>
      <c r="D95" s="1853"/>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2459</v>
      </c>
      <c r="D96" s="1854"/>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1986" t="s">
        <v>2426</v>
      </c>
      <c r="D97" s="1986"/>
      <c r="E97" s="1986"/>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09" t="s">
        <v>781</v>
      </c>
      <c r="D107" s="2009"/>
      <c r="E107" s="2009"/>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07" t="s">
        <v>2428</v>
      </c>
      <c r="D117" s="2007"/>
      <c r="E117" s="2007"/>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5" t="s">
        <v>2153</v>
      </c>
      <c r="D118" s="1856"/>
      <c r="E118" s="1792" t="s">
        <v>2433</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2435</v>
      </c>
      <c r="D119" s="1857"/>
      <c r="E119" s="1793" t="s">
        <v>2429</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2436</v>
      </c>
      <c r="D120" s="1857"/>
      <c r="E120" s="1793" t="s">
        <v>2430</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2434</v>
      </c>
      <c r="D121" s="1857"/>
      <c r="E121" s="1793" t="s">
        <v>2431</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8"/>
      <c r="E122" s="1794" t="s">
        <v>2432</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1986" t="s">
        <v>2426</v>
      </c>
      <c r="D123" s="1986"/>
      <c r="E123" s="1986"/>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07" t="s">
        <v>2402</v>
      </c>
      <c r="D125" s="2007"/>
      <c r="E125" s="2007"/>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2453</v>
      </c>
      <c r="D126" s="1829" t="s">
        <v>2401</v>
      </c>
      <c r="E126" s="2004" t="s">
        <v>2474</v>
      </c>
      <c r="F126" s="1992"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Указана необычная продолжительность прекращения централизованного горячего водоснабжения!
Это повод перепроверить правильность данных.</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05"/>
      <c r="F127" s="1992"/>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05"/>
      <c r="F128" s="1992"/>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v>11</v>
      </c>
      <c r="E129" s="2005"/>
      <c r="F129" s="1992"/>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v>12</v>
      </c>
      <c r="E130" s="2005"/>
      <c r="F130" s="1992"/>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v>16</v>
      </c>
      <c r="E131" s="2005"/>
      <c r="F131" s="1992"/>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06"/>
      <c r="F132" s="1992"/>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08"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08"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08"/>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13"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Не заполняйте, если нет циркуляционных трубопроводов</v>
      </c>
      <c r="F135" s="2013"/>
      <c r="G135" s="1930" t="s">
        <v>2503</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5"/>
      <c r="D136" s="1258"/>
      <c r="E136" s="1830" t="s">
        <v>2493</v>
      </c>
      <c r="F136" s="1830" t="s">
        <v>2491</v>
      </c>
      <c r="G136" s="1830" t="s">
        <v>2492</v>
      </c>
      <c r="H136" s="1"/>
      <c r="I136" s="14"/>
      <c r="J136" s="14"/>
      <c r="K136" s="14"/>
      <c r="L136" s="14"/>
      <c r="M136" s="14"/>
      <c r="N136" s="14"/>
      <c r="O136" s="14"/>
      <c r="P136" s="1924">
        <v>15</v>
      </c>
      <c r="Q136" s="1924">
        <v>20</v>
      </c>
      <c r="R136" s="1924">
        <v>25</v>
      </c>
      <c r="S136" s="1924">
        <v>32</v>
      </c>
      <c r="T136" s="1924">
        <v>40</v>
      </c>
      <c r="U136" s="1924">
        <v>50</v>
      </c>
      <c r="V136" s="1924">
        <v>70</v>
      </c>
      <c r="W136" s="14"/>
      <c r="X136" s="14"/>
      <c r="Y136" s="14"/>
      <c r="Z136" s="14"/>
      <c r="AA136" s="14"/>
      <c r="AB136" s="14"/>
      <c r="AC136" s="14"/>
      <c r="AD136" s="14"/>
      <c r="AE136" s="14"/>
      <c r="AF136" s="14"/>
      <c r="AG136" s="14"/>
      <c r="AH136" s="14"/>
    </row>
    <row r="137" spans="1:34" ht="18.75" customHeight="1" x14ac:dyDescent="0.25">
      <c r="A137" s="1324"/>
      <c r="B137" s="1308"/>
      <c r="C137" s="1915"/>
      <c r="D137" s="1258" t="s">
        <v>2482</v>
      </c>
      <c r="E137" s="1927" t="s">
        <v>2487</v>
      </c>
      <c r="F137" s="1862"/>
      <c r="G137" s="1862"/>
      <c r="H137" s="1924">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4">
        <v>10.9</v>
      </c>
      <c r="Q137" s="1924">
        <v>12.1</v>
      </c>
      <c r="R137" s="1924">
        <v>13.3</v>
      </c>
      <c r="S137" s="1924">
        <v>15.1</v>
      </c>
      <c r="T137" s="1924">
        <v>16.7</v>
      </c>
      <c r="U137" s="1924">
        <v>18.8</v>
      </c>
      <c r="V137" s="1924">
        <v>23</v>
      </c>
      <c r="W137" s="14"/>
      <c r="X137" s="14"/>
      <c r="Y137" s="14"/>
      <c r="Z137" s="14"/>
      <c r="AA137" s="14"/>
      <c r="AB137" s="14"/>
      <c r="AC137" s="14"/>
      <c r="AD137" s="14"/>
      <c r="AE137" s="14"/>
      <c r="AF137" s="14"/>
      <c r="AG137" s="14"/>
      <c r="AH137" s="14"/>
    </row>
    <row r="138" spans="1:34" ht="18.75" customHeight="1" x14ac:dyDescent="0.25">
      <c r="A138" s="1324"/>
      <c r="B138" s="1308"/>
      <c r="C138" s="1915"/>
      <c r="D138" s="1258" t="s">
        <v>2483</v>
      </c>
      <c r="E138" s="1928" t="s">
        <v>2488</v>
      </c>
      <c r="F138" s="1857"/>
      <c r="G138" s="1857"/>
      <c r="H138" s="1924">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4">
        <v>14.8</v>
      </c>
      <c r="Q138" s="1924">
        <v>16.399999999999999</v>
      </c>
      <c r="R138" s="1924">
        <v>18</v>
      </c>
      <c r="S138" s="1924">
        <v>20.5</v>
      </c>
      <c r="T138" s="1924">
        <v>22.6</v>
      </c>
      <c r="U138" s="1924">
        <v>25.5</v>
      </c>
      <c r="V138" s="1924">
        <v>29.6</v>
      </c>
      <c r="W138" s="14"/>
      <c r="X138" s="14"/>
      <c r="Y138" s="14"/>
      <c r="Z138" s="14"/>
      <c r="AA138" s="14"/>
      <c r="AB138" s="14"/>
      <c r="AC138" s="14"/>
      <c r="AD138" s="14"/>
      <c r="AE138" s="14"/>
      <c r="AF138" s="14"/>
      <c r="AG138" s="14"/>
      <c r="AH138" s="14"/>
    </row>
    <row r="139" spans="1:34" ht="18.75" customHeight="1" x14ac:dyDescent="0.25">
      <c r="A139" s="1324"/>
      <c r="B139" s="1308"/>
      <c r="C139" s="1915"/>
      <c r="D139" s="1258" t="s">
        <v>2484</v>
      </c>
      <c r="E139" s="1928" t="s">
        <v>2490</v>
      </c>
      <c r="F139" s="1857"/>
      <c r="G139" s="1857"/>
      <c r="H139" s="1924">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4">
        <v>9</v>
      </c>
      <c r="Q139" s="1924">
        <v>10</v>
      </c>
      <c r="R139" s="1924">
        <v>11</v>
      </c>
      <c r="S139" s="1924">
        <v>12.3</v>
      </c>
      <c r="T139" s="1924">
        <v>13.8</v>
      </c>
      <c r="U139" s="1924">
        <v>15.6</v>
      </c>
      <c r="V139" s="1924">
        <v>19.100000000000001</v>
      </c>
      <c r="W139" s="14"/>
      <c r="X139" s="14"/>
      <c r="Y139" s="14"/>
      <c r="Z139" s="14"/>
      <c r="AA139" s="14"/>
      <c r="AB139" s="14"/>
      <c r="AC139" s="14"/>
      <c r="AD139" s="14"/>
      <c r="AE139" s="14"/>
      <c r="AF139" s="14"/>
      <c r="AG139" s="14"/>
      <c r="AH139" s="14"/>
    </row>
    <row r="140" spans="1:34" ht="18.75" customHeight="1" x14ac:dyDescent="0.25">
      <c r="A140" s="1324"/>
      <c r="B140" s="1308"/>
      <c r="C140" s="1915"/>
      <c r="D140" s="1258" t="s">
        <v>2485</v>
      </c>
      <c r="E140" s="1928" t="s">
        <v>2489</v>
      </c>
      <c r="F140" s="1857"/>
      <c r="G140" s="1857"/>
      <c r="H140" s="1924">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4">
        <v>12</v>
      </c>
      <c r="Q140" s="1924">
        <v>13.4</v>
      </c>
      <c r="R140" s="1924">
        <v>14.8</v>
      </c>
      <c r="S140" s="1924">
        <v>16.899999999999999</v>
      </c>
      <c r="T140" s="1924">
        <v>18.600000000000001</v>
      </c>
      <c r="U140" s="1924">
        <v>21</v>
      </c>
      <c r="V140" s="1924">
        <v>25.7</v>
      </c>
      <c r="W140" s="14"/>
      <c r="X140" s="14"/>
      <c r="Y140" s="14"/>
      <c r="Z140" s="14"/>
      <c r="AA140" s="14"/>
      <c r="AB140" s="14"/>
      <c r="AC140" s="14"/>
      <c r="AD140" s="14"/>
      <c r="AE140" s="14"/>
      <c r="AF140" s="14"/>
      <c r="AG140" s="14"/>
      <c r="AH140" s="14"/>
    </row>
    <row r="141" spans="1:34" ht="18.75" customHeight="1" x14ac:dyDescent="0.25">
      <c r="A141" s="1324"/>
      <c r="B141" s="1308"/>
      <c r="C141" s="1915"/>
      <c r="D141" s="1258" t="s">
        <v>2486</v>
      </c>
      <c r="E141" s="1929" t="s">
        <v>2494</v>
      </c>
      <c r="F141" s="1858"/>
      <c r="G141" s="1858"/>
      <c r="H141" s="1924">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4">
        <v>20</v>
      </c>
      <c r="Q141" s="1924">
        <v>24.6</v>
      </c>
      <c r="R141" s="1924">
        <v>29.2</v>
      </c>
      <c r="S141" s="1924">
        <v>36.6</v>
      </c>
      <c r="T141" s="1924">
        <v>43</v>
      </c>
      <c r="U141" s="1924">
        <v>52</v>
      </c>
      <c r="V141" s="1924">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2"/>
      <c r="F142" s="1925" t="str">
        <f>IF(OR(SUMPRODUCT(F137:F141,H137:H141)=0,'Система ГВС'!$G$17=FALSE),"","Теплопотери в циркуляционном трубопроводе ГВС, Гкал/год &gt;")</f>
        <v/>
      </c>
      <c r="G142" s="1926"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4">
        <v>26.9</v>
      </c>
      <c r="Q142" s="1924">
        <v>33.1</v>
      </c>
      <c r="R142" s="1924">
        <v>39.299999999999997</v>
      </c>
      <c r="S142" s="1924">
        <v>49.2</v>
      </c>
      <c r="T142" s="1924">
        <v>57.8</v>
      </c>
      <c r="U142" s="1924">
        <v>69.900000000000006</v>
      </c>
      <c r="V142" s="1924">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4">
        <v>23.5</v>
      </c>
      <c r="Q143" s="1924">
        <v>28.9</v>
      </c>
      <c r="R143" s="1924">
        <v>34.200000000000003</v>
      </c>
      <c r="S143" s="1924">
        <v>42.8</v>
      </c>
      <c r="T143" s="1924">
        <v>50.3</v>
      </c>
      <c r="U143" s="1924">
        <v>60.8</v>
      </c>
      <c r="V143" s="1924">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4">
        <v>23.5</v>
      </c>
      <c r="Q144" s="1924">
        <v>28.9</v>
      </c>
      <c r="R144" s="1924">
        <v>34.200000000000003</v>
      </c>
      <c r="S144" s="1924">
        <v>42.8</v>
      </c>
      <c r="T144" s="1924">
        <v>50.3</v>
      </c>
      <c r="U144" s="1924">
        <v>60.8</v>
      </c>
      <c r="V144" s="1924">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4">
        <v>9.4</v>
      </c>
      <c r="Q145" s="1924">
        <v>10.3</v>
      </c>
      <c r="R145" s="1924">
        <v>11.7</v>
      </c>
      <c r="S145" s="1924">
        <v>12.9</v>
      </c>
      <c r="T145" s="1924">
        <v>14.6</v>
      </c>
      <c r="U145" s="1924">
        <v>17.8</v>
      </c>
      <c r="V145" s="1924"/>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4">
        <v>12.9</v>
      </c>
      <c r="Q146" s="1924">
        <v>14.1</v>
      </c>
      <c r="R146" s="1924">
        <v>16</v>
      </c>
      <c r="S146" s="1924">
        <v>17.7</v>
      </c>
      <c r="T146" s="1924">
        <v>20</v>
      </c>
      <c r="U146" s="1924">
        <v>24.4</v>
      </c>
      <c r="V146" s="1924"/>
      <c r="W146" s="14"/>
      <c r="X146" s="14"/>
      <c r="Y146" s="14"/>
      <c r="Z146" s="14"/>
      <c r="AA146" s="14"/>
      <c r="AB146" s="14"/>
      <c r="AC146" s="14"/>
      <c r="AD146" s="14"/>
      <c r="AE146" s="14"/>
      <c r="AF146" s="14"/>
      <c r="AG146" s="14"/>
      <c r="AH146" s="14"/>
    </row>
    <row r="147" spans="1:34" s="7" customFormat="1" ht="27" customHeight="1" x14ac:dyDescent="0.3">
      <c r="A147" s="1324"/>
      <c r="B147" s="1308"/>
      <c r="C147" s="2009" t="s">
        <v>965</v>
      </c>
      <c r="D147" s="2009"/>
      <c r="E147" s="2009"/>
      <c r="F147" s="50"/>
      <c r="G147" s="14"/>
      <c r="H147" s="14"/>
      <c r="I147" s="14"/>
      <c r="J147" s="14"/>
      <c r="K147" s="14"/>
      <c r="L147" s="14"/>
      <c r="M147" s="14"/>
      <c r="N147" s="14"/>
      <c r="O147" s="14"/>
      <c r="P147" s="1924">
        <v>23</v>
      </c>
      <c r="Q147" s="1924">
        <v>27.1</v>
      </c>
      <c r="R147" s="1924">
        <v>34</v>
      </c>
      <c r="S147" s="1924">
        <v>40</v>
      </c>
      <c r="T147" s="1924">
        <v>48.3</v>
      </c>
      <c r="U147" s="1924">
        <v>67.2</v>
      </c>
      <c r="V147" s="1924"/>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4">
        <v>31.5</v>
      </c>
      <c r="Q148" s="1924">
        <v>31.5</v>
      </c>
      <c r="R148" s="1924">
        <v>46.6</v>
      </c>
      <c r="S148" s="1924">
        <v>54.8</v>
      </c>
      <c r="T148" s="1924">
        <v>66.2</v>
      </c>
      <c r="U148" s="1924">
        <v>92.1</v>
      </c>
      <c r="V148" s="1924"/>
      <c r="W148" s="14"/>
      <c r="X148" s="14"/>
      <c r="Y148" s="14"/>
      <c r="Z148" s="14"/>
      <c r="AA148" s="14"/>
      <c r="AB148" s="14"/>
      <c r="AC148" s="14"/>
      <c r="AD148" s="14"/>
      <c r="AE148" s="14"/>
      <c r="AF148" s="14"/>
      <c r="AG148" s="14"/>
      <c r="AH148" s="14"/>
    </row>
    <row r="149" spans="1:34" s="7" customFormat="1" x14ac:dyDescent="0.25">
      <c r="A149" s="1324"/>
      <c r="B149" s="1308"/>
      <c r="C149" s="1997" t="s">
        <v>986</v>
      </c>
      <c r="D149" s="1997"/>
      <c r="E149" s="1997"/>
      <c r="F149" s="1997"/>
      <c r="G149" s="1997"/>
      <c r="H149" s="1997"/>
      <c r="I149" s="1997"/>
      <c r="J149" s="1997"/>
      <c r="K149" s="1997"/>
      <c r="L149" s="1997"/>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10" t="s">
        <v>2437</v>
      </c>
      <c r="I150" s="2011"/>
      <c r="J150" s="2011"/>
      <c r="K150" s="2011"/>
      <c r="L150" s="2012"/>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4</v>
      </c>
      <c r="E151" s="1571" t="s">
        <v>973</v>
      </c>
      <c r="F151" s="1260">
        <v>200</v>
      </c>
      <c r="G151" s="1571" t="s">
        <v>467</v>
      </c>
      <c r="H151" s="1859"/>
      <c r="I151" s="1998" t="s">
        <v>2440</v>
      </c>
      <c r="J151" s="1999"/>
      <c r="K151" s="1999"/>
      <c r="L151" s="2000"/>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144</v>
      </c>
      <c r="E152" s="1572" t="s">
        <v>972</v>
      </c>
      <c r="F152" s="1261">
        <v>5</v>
      </c>
      <c r="G152" s="1572" t="s">
        <v>1153</v>
      </c>
      <c r="H152" s="1860"/>
      <c r="I152" s="2001" t="s">
        <v>2441</v>
      </c>
      <c r="J152" s="2002"/>
      <c r="K152" s="2002"/>
      <c r="L152" s="2003"/>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c r="E153" s="1572" t="s">
        <v>2406</v>
      </c>
      <c r="F153" s="1261"/>
      <c r="G153" s="1572" t="s">
        <v>467</v>
      </c>
      <c r="H153" s="1860"/>
      <c r="I153" s="2063" t="s">
        <v>2442</v>
      </c>
      <c r="J153" s="2063"/>
      <c r="K153" s="2063"/>
      <c r="L153" s="2063"/>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20</v>
      </c>
      <c r="E154" s="1572" t="s">
        <v>972</v>
      </c>
      <c r="F154" s="1261">
        <v>5</v>
      </c>
      <c r="G154" s="1572" t="s">
        <v>467</v>
      </c>
      <c r="H154" s="1860"/>
      <c r="I154" s="2063" t="s">
        <v>2443</v>
      </c>
      <c r="J154" s="2063"/>
      <c r="K154" s="2063"/>
      <c r="L154" s="2063"/>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c r="E155" s="1572" t="s">
        <v>2406</v>
      </c>
      <c r="F155" s="1261"/>
      <c r="G155" s="1572" t="s">
        <v>467</v>
      </c>
      <c r="H155" s="1860"/>
      <c r="I155" s="2063" t="s">
        <v>2444</v>
      </c>
      <c r="J155" s="2063"/>
      <c r="K155" s="2063"/>
      <c r="L155" s="2063"/>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v>4</v>
      </c>
      <c r="E156" s="1574" t="s">
        <v>2447</v>
      </c>
      <c r="F156" s="1262">
        <v>250</v>
      </c>
      <c r="G156" s="1574" t="s">
        <v>1153</v>
      </c>
      <c r="H156" s="1861"/>
      <c r="I156" s="2064" t="s">
        <v>2445</v>
      </c>
      <c r="J156" s="2064"/>
      <c r="K156" s="2064"/>
      <c r="L156" s="2064"/>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2086" t="s">
        <v>1410</v>
      </c>
      <c r="D158" s="2086"/>
      <c r="E158" s="2086"/>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v>4</v>
      </c>
      <c r="E159" s="2068"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v>4</v>
      </c>
      <c r="E160" s="2069"/>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v>22</v>
      </c>
      <c r="E161" s="2070"/>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2449</v>
      </c>
      <c r="D162" s="1858"/>
      <c r="E162" s="1570" t="s">
        <v>2448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2086" t="s">
        <v>1411</v>
      </c>
      <c r="D164" s="2086"/>
      <c r="E164" s="2086"/>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2065"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2066"/>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2067"/>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2450</v>
      </c>
      <c r="D168" s="1858"/>
      <c r="E168" s="1330" t="str">
        <f ca="1">CONCATENATE(IF(D209&gt;0,CONCATENATE("По умолчанию ",D209*24," часов",CHAR(10),"С"),"По умолчанию с"),"оответствует продолжительности отопительного периода в часах")</f>
        <v>По умолчанию 5688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2065"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2066"/>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2067"/>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2451</v>
      </c>
      <c r="D172" s="1864"/>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7824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2065"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2066"/>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2067"/>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2450</v>
      </c>
      <c r="D176" s="1858"/>
      <c r="E176" s="1330" t="s">
        <v>2452</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2094" t="s">
        <v>1412</v>
      </c>
      <c r="D178" s="2094"/>
      <c r="E178" s="2094"/>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2091"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2092"/>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87" t="s">
        <v>2478</v>
      </c>
      <c r="D183" s="1987"/>
      <c r="E183" s="1987"/>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2" t="str">
        <f>IF(AND(ISBLANK(D186),ISBLANK(D187),ISBLANK(D188)),"",SUM(D186:D188))</f>
        <v/>
      </c>
      <c r="E185" s="2004"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3"/>
      <c r="E186" s="2005"/>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3"/>
      <c r="E187" s="2005"/>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8"/>
      <c r="E188" s="2006"/>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2"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2096" t="s">
        <v>1682</v>
      </c>
      <c r="D191" s="2097"/>
      <c r="E191" s="2004"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2"/>
      <c r="E192" s="2005"/>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8"/>
      <c r="E193" s="2006"/>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2"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2096" t="s">
        <v>978</v>
      </c>
      <c r="D196" s="2097"/>
      <c r="E196" s="2004"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95</v>
      </c>
      <c r="E197" s="2005"/>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06"/>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53" t="s">
        <v>2476</v>
      </c>
      <c r="D201" s="2053"/>
      <c r="E201" s="2053"/>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721</v>
      </c>
      <c r="E202" s="1783">
        <v>2018</v>
      </c>
      <c r="F202" s="1786" t="str">
        <f ca="1">IFERROR(
IF(OR(ISBLANK(D202),ISBLANK(E202),D202=INDEX(Months12ext,1)),
        "Укажите месяц и год",
        IF(TODAY()&lt;EDATE(DATEVALUE(D202&amp;" "&amp;E202),1),
                    "Окончание периода оплаты позднее, чем сегодняшняя дата!","")),"")</f>
        <v/>
      </c>
      <c r="G202" s="1897"/>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6"/>
      <c r="F203" s="1895"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87" t="s">
        <v>2468</v>
      </c>
      <c r="E204" s="2088"/>
      <c r="F204" s="1897"/>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899" t="s">
        <v>1712</v>
      </c>
      <c r="D205" s="1898" t="s">
        <v>1713</v>
      </c>
      <c r="E205" s="1898"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2" t="str">
        <f>CONCATENATE(E202-2,"/",E202-1," гг. ")</f>
        <v xml:space="preserve">2016/2017 гг. </v>
      </c>
      <c r="D206" s="1890" t="s">
        <v>1711</v>
      </c>
      <c r="E206" s="1886"/>
      <c r="F206" s="1916"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7"/>
      <c r="H206" s="1917"/>
      <c r="I206" s="1917"/>
      <c r="J206" s="1917"/>
      <c r="K206" s="1917"/>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2" t="str">
        <f>CONCATENATE(E202-1,"/",E202," гг. ")</f>
        <v xml:space="preserve">2017/2018 гг. </v>
      </c>
      <c r="D207" s="1889">
        <v>42999</v>
      </c>
      <c r="E207" s="1889">
        <v>43235</v>
      </c>
      <c r="F207" s="1900"/>
      <c r="G207" s="1901"/>
      <c r="H207" s="1901"/>
      <c r="I207" s="1901"/>
      <c r="J207" s="1901"/>
      <c r="K207" s="1901"/>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88" t="str">
        <f>CONCATENATE(E202,"/",E202+1," гг.* ")</f>
        <v xml:space="preserve">2018/2019 гг.* </v>
      </c>
      <c r="D208" s="1886"/>
      <c r="E208" s="1890" t="s">
        <v>1711</v>
      </c>
      <c r="F208" s="1916"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18"/>
      <c r="H208" s="1918"/>
      <c r="I208" s="1918"/>
      <c r="J208" s="1918"/>
      <c r="K208" s="1918"/>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88" t="s">
        <v>1973</v>
      </c>
      <c r="D209" s="2056">
        <f ca="1">SUM(I273:I284)</f>
        <v>237</v>
      </c>
      <c r="E209" s="2057"/>
      <c r="F209" s="1887"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3"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4" t="s">
        <v>1368</v>
      </c>
      <c r="D211" s="1885">
        <f>IF(E207="",E206,E207)</f>
        <v>43235</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39" t="s">
        <v>2479</v>
      </c>
      <c r="D213" s="2039"/>
      <c r="E213" s="2039"/>
      <c r="F213" s="2039"/>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2453</v>
      </c>
      <c r="D215" s="2043" t="s">
        <v>1965</v>
      </c>
      <c r="E215" s="2044"/>
      <c r="F215" s="2045"/>
      <c r="G215" s="50"/>
      <c r="H215" s="50"/>
      <c r="I215" s="2085" t="s">
        <v>1458</v>
      </c>
      <c r="J215" s="2085"/>
      <c r="K215" s="2085"/>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2457</v>
      </c>
      <c r="D216" s="1263" t="s">
        <v>2456</v>
      </c>
      <c r="E216" s="1263" t="s">
        <v>2455</v>
      </c>
      <c r="F216" s="1263" t="s">
        <v>2454</v>
      </c>
      <c r="G216" s="50"/>
      <c r="H216" s="50"/>
      <c r="I216" s="1833" t="s">
        <v>2495</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2018</v>
      </c>
      <c r="D217" s="1846">
        <v>269.45</v>
      </c>
      <c r="E217" s="1846">
        <v>207.96</v>
      </c>
      <c r="F217" s="1846">
        <v>61.49</v>
      </c>
      <c r="G217" s="1992"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072"/>
      <c r="I217" s="1834">
        <f ca="1">IFERROR((1163/(D$56+D$23))*IF(IF(E273="",F273,G273)=0,IF(J217=0,"",J217/(IF(E273="",F273,G273)+10^-15)),J217/IF(E273="",F273,G273)),"-")</f>
        <v>3.3049976775405693E-2</v>
      </c>
      <c r="J217" s="1835">
        <f>ROUND(IF(AND(D217&lt;&gt;"",E217=""),D217-K217,E217),3)</f>
        <v>207.96</v>
      </c>
      <c r="K217" s="1835">
        <f>ROUND(IF('Система ГВС'!$F$3=2,0,IF(F217=0,F236*(1+IF(списки!$B$59=списки!$Y$54,'Расчет базового уровня'!$D$178,0))*(списки!$C$59-M273)/1000+IF(E236=0,SUMPRODUCT(F$137:F$141,H$137:H$141)*J273*24*10^-6,E236*списки!$C$63/1000),F217)),3)</f>
        <v>61.49</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2018</v>
      </c>
      <c r="D218" s="1337">
        <v>244.78</v>
      </c>
      <c r="E218" s="1337">
        <v>189.35</v>
      </c>
      <c r="F218" s="1337">
        <v>55.43</v>
      </c>
      <c r="G218" s="1992"/>
      <c r="H218" s="2072"/>
      <c r="I218" s="1836">
        <f t="shared" ref="I218:I229" ca="1" si="9">IFERROR((1163/(D$56+D$23))*IF(IF(E274="",F274,G274)=0,IF(J218=0,"",J218/(IF(E274="",F274,G274)+10^-15)),J218/IF(E274="",F274,G274)),"-")</f>
        <v>3.2585488256291185E-2</v>
      </c>
      <c r="J218" s="1837">
        <f t="shared" ref="J218:J228" si="10">ROUND(IF(AND(D218&lt;&gt;"",E218=""),D218-K218,E218),3)</f>
        <v>189.35</v>
      </c>
      <c r="K218" s="1837">
        <f>ROUND(IF('Система ГВС'!$F$3=2,0,IF(F218=0,F237*(1+IF(списки!$B$59=списки!$Y$54,'Расчет базового уровня'!$D$178,0))*(списки!$C$59-M274)/1000+IF(E237=0,SUMPRODUCT(F$137:F$141,H$137:H$141)*J274*24*10^-6,E237*списки!$C$63/1000),F218)),3)</f>
        <v>55.43</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2018</v>
      </c>
      <c r="D219" s="1337">
        <v>263.95</v>
      </c>
      <c r="E219" s="1337">
        <v>193.71</v>
      </c>
      <c r="F219" s="1337">
        <v>70.239999999999995</v>
      </c>
      <c r="G219" s="1992"/>
      <c r="H219" s="2072"/>
      <c r="I219" s="1836">
        <f t="shared" ca="1" si="9"/>
        <v>3.3235341244808141E-2</v>
      </c>
      <c r="J219" s="1837">
        <f t="shared" si="10"/>
        <v>193.71</v>
      </c>
      <c r="K219" s="1837">
        <f>ROUND(IF('Система ГВС'!$F$3=2,0,IF(F219=0,F238*(1+IF(списки!$B$59=списки!$Y$54,'Расчет базового уровня'!$D$178,0))*(списки!$C$59-M275)/1000+IF(E238=0,SUMPRODUCT(F$137:F$141,H$137:H$141)*J275*24*10^-6,E238*списки!$C$63/1000),F219)),3)</f>
        <v>70.239999999999995</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2018</v>
      </c>
      <c r="D220" s="1337">
        <v>193.63</v>
      </c>
      <c r="E220" s="1337">
        <v>130.61000000000001</v>
      </c>
      <c r="F220" s="1337">
        <v>63.02</v>
      </c>
      <c r="G220" s="1992"/>
      <c r="H220" s="2072"/>
      <c r="I220" s="1836">
        <f t="shared" ca="1" si="9"/>
        <v>3.8460379406610075E-2</v>
      </c>
      <c r="J220" s="1837">
        <f t="shared" si="10"/>
        <v>130.61000000000001</v>
      </c>
      <c r="K220" s="1837">
        <f>ROUND(IF('Система ГВС'!$F$3=2,0,IF(F220=0,F239*(1+IF(списки!$B$59=списки!$Y$54,'Расчет базового уровня'!$D$178,0))*(списки!$C$59-M276)/1000+IF(E239=0,SUMPRODUCT(F$137:F$141,H$137:H$141)*(J276-D127)*24*10^-6,E239*списки!$C$63/1000),F220)),3)</f>
        <v>63.02</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106.53</v>
      </c>
      <c r="E221" s="1337">
        <v>43.83</v>
      </c>
      <c r="F221" s="1337">
        <v>62.7</v>
      </c>
      <c r="G221" s="1992"/>
      <c r="H221" s="2072"/>
      <c r="I221" s="1836">
        <f t="shared" ca="1" si="9"/>
        <v>3.7428860311124613E-2</v>
      </c>
      <c r="J221" s="1837">
        <f t="shared" si="10"/>
        <v>43.83</v>
      </c>
      <c r="K221" s="1837">
        <f>ROUND(IF('Система ГВС'!$F$3=2,0,IF(F221=0,F240*(1+IF(списки!$B$59=списки!$Y$54,'Расчет базового уровня'!$D$178,0))*(списки!$C$59-M277)/1000+IF(E240=0,SUMPRODUCT(F$137:F$141,H$137:H$141)*(J277-D128)*24*10^-6,E240*списки!$C$63/1000),F221)),3)</f>
        <v>62.7</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38.299999999999997</v>
      </c>
      <c r="E222" s="1337">
        <v>0</v>
      </c>
      <c r="F222" s="1337">
        <v>38.299999999999997</v>
      </c>
      <c r="G222" s="1992"/>
      <c r="H222" s="2072"/>
      <c r="I222" s="1836" t="str">
        <f t="shared" si="9"/>
        <v>-</v>
      </c>
      <c r="J222" s="1837">
        <f t="shared" si="10"/>
        <v>0</v>
      </c>
      <c r="K222" s="1837">
        <f>ROUND(IF('Система ГВС'!$F$3=2,0,IF(F222=0,F241*(1+IF(списки!$B$59=списки!$Y$54,'Расчет базового уровня'!$D$178,0))*(списки!$C$59-M278)/1000+IF(E241=0,SUMPRODUCT(F$137:F$141,H$137:H$141)*(J278-D129)*24*10^-6,E241*списки!$C$63/1000),F222)),3)</f>
        <v>38.299999999999997</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28.58</v>
      </c>
      <c r="E223" s="1337">
        <v>0</v>
      </c>
      <c r="F223" s="1337">
        <v>28.58</v>
      </c>
      <c r="G223" s="1992"/>
      <c r="H223" s="2072"/>
      <c r="I223" s="1836" t="str">
        <f t="shared" si="9"/>
        <v>-</v>
      </c>
      <c r="J223" s="1837">
        <f t="shared" si="10"/>
        <v>0</v>
      </c>
      <c r="K223" s="1837">
        <f>ROUND(IF('Система ГВС'!$F$3=2,0,IF(F223=0,F242*(1+IF(списки!$B$59=списки!$Y$54,'Расчет базового уровня'!$D$178,0))*(списки!$C$59-M279)/1000+IF(E242=0,SUMPRODUCT(F$137:F$141,H$137:H$141)*(J279-D130)*24*10^-6,E242*списки!$C$63/1000),F223)),3)</f>
        <v>28.58</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26.85</v>
      </c>
      <c r="E224" s="1337">
        <v>0</v>
      </c>
      <c r="F224" s="1337">
        <v>26.85</v>
      </c>
      <c r="G224" s="1992"/>
      <c r="H224" s="2072"/>
      <c r="I224" s="1836" t="str">
        <f t="shared" si="9"/>
        <v>-</v>
      </c>
      <c r="J224" s="1837">
        <f t="shared" si="10"/>
        <v>0</v>
      </c>
      <c r="K224" s="1837">
        <f>ROUND(IF('Система ГВС'!$F$3=2,0,IF(F224=0,F243*(1+IF(списки!$B$59=списки!$Y$54,'Расчет базового уровня'!$D$178,0))*(списки!$C$59-M280)/1000+IF(E243=0,SUMPRODUCT(F$137:F$141,H$137:H$141)*(J280-D131)*24*10^-6,E243*списки!$C$63/1000),F224)),3)</f>
        <v>26.85</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2017</v>
      </c>
      <c r="D225" s="1337">
        <v>104.13</v>
      </c>
      <c r="E225" s="1337">
        <v>43.38</v>
      </c>
      <c r="F225" s="1337">
        <v>60.75</v>
      </c>
      <c r="G225" s="1992"/>
      <c r="H225" s="2072"/>
      <c r="I225" s="1836">
        <f t="shared" ca="1" si="9"/>
        <v>5.5566870646700413E-2</v>
      </c>
      <c r="J225" s="1837">
        <f t="shared" si="10"/>
        <v>43.38</v>
      </c>
      <c r="K225" s="1837">
        <f>ROUND(IF('Система ГВС'!$F$3=2,0,IF(F225=0,F244*(1+IF(списки!$B$59=списки!$Y$54,'Расчет базового уровня'!$D$178,0))*(списки!$C$59-M281)/1000+IF(E244=0,SUMPRODUCT(F$137:F$141,H$137:H$141)*(J281-D132)*24*10^-6,E244*списки!$C$63/1000),F225)),3)</f>
        <v>60.75</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2017</v>
      </c>
      <c r="D226" s="1337">
        <v>194.75</v>
      </c>
      <c r="E226" s="1337">
        <v>135.05000000000001</v>
      </c>
      <c r="F226" s="1337">
        <v>59.7</v>
      </c>
      <c r="G226" s="1992"/>
      <c r="H226" s="2072"/>
      <c r="I226" s="1836">
        <f t="shared" ca="1" si="9"/>
        <v>3.9160156795160342E-2</v>
      </c>
      <c r="J226" s="1837">
        <f t="shared" si="10"/>
        <v>135.05000000000001</v>
      </c>
      <c r="K226" s="1837">
        <f>ROUND(IF('Система ГВС'!$F$3=2,0,IF(F226=0,F245*(1+IF(списки!$B$59=списки!$Y$54,'Расчет базового уровня'!$D$178,0))*(списки!$C$59-M282)/1000+IF(E245=0,SUMPRODUCT(F$137:F$141,H$137:H$141)*J282*24*10^-6,E245*списки!$C$63/1000),F226)),3)</f>
        <v>59.7</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2017</v>
      </c>
      <c r="D227" s="1337">
        <v>206.11</v>
      </c>
      <c r="E227" s="1337">
        <v>148.44999999999999</v>
      </c>
      <c r="F227" s="1337">
        <v>57.66</v>
      </c>
      <c r="G227" s="1992"/>
      <c r="H227" s="2072"/>
      <c r="I227" s="1836">
        <f t="shared" ca="1" si="9"/>
        <v>3.570976412185653E-2</v>
      </c>
      <c r="J227" s="1837">
        <f t="shared" si="10"/>
        <v>148.44999999999999</v>
      </c>
      <c r="K227" s="1837">
        <f>ROUND(IF('Система ГВС'!$F$3=2,0,IF(F227=0,F246*(1+IF(списки!$B$59=списки!$Y$54,'Расчет базового уровня'!$D$178,0))*(списки!$C$59-M283)/1000+IF(E246=0,SUMPRODUCT(F$137:F$141,H$137:H$141)*J283*24*10^-6,E246*списки!$C$63/1000),F227)),3)</f>
        <v>57.66</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2017</v>
      </c>
      <c r="D228" s="1847">
        <v>243.15</v>
      </c>
      <c r="E228" s="1847">
        <v>183.32</v>
      </c>
      <c r="F228" s="1847">
        <v>59.83</v>
      </c>
      <c r="G228" s="1992"/>
      <c r="H228" s="2072"/>
      <c r="I228" s="1838">
        <f t="shared" ca="1" si="9"/>
        <v>7.2141513159193454E-2</v>
      </c>
      <c r="J228" s="1839">
        <f t="shared" si="10"/>
        <v>183.32</v>
      </c>
      <c r="K228" s="1839">
        <f>ROUND(IF('Система ГВС'!$F$3=2,0,IF(F228=0,F247*(1+IF(списки!$B$59=списки!$Y$54,'Расчет базового уровня'!$D$178,0))*(списки!$C$59-M284)/1000+IF(E247=0,SUMPRODUCT(F$137:F$141,H$137:H$141)*J284*24*10^-6,E247*списки!$C$63/1000),F228)),3)</f>
        <v>59.83</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0">
        <f>SUM(D217:D228)</f>
        <v>1920.21</v>
      </c>
      <c r="E229" s="1919">
        <f>SUM(E217:E228)</f>
        <v>1275.6600000000001</v>
      </c>
      <c r="F229" s="1920">
        <f>SUM(F217:F228)</f>
        <v>644.55000000000007</v>
      </c>
      <c r="G229" s="50"/>
      <c r="H229" s="50"/>
      <c r="I229" s="1840">
        <f t="shared" ca="1" si="9"/>
        <v>3.8163524461606466E-2</v>
      </c>
      <c r="J229" s="1841">
        <f>IF(E229=0,D229-K229,E229)</f>
        <v>1275.6600000000001</v>
      </c>
      <c r="K229" s="1841">
        <f>ROUND(SUM(K217:K228),3)</f>
        <v>644.54999999999995</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225679.02499999999</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42" t="str">
        <f>IF('Система ГВС'!F3=2,"Таблицу ниже можно не заполнять, т.к. в поле 70 выбрана децентрализованная система ГВС","")</f>
        <v/>
      </c>
      <c r="D232" s="2042"/>
      <c r="E232" s="2042"/>
      <c r="F232" s="2042"/>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39" t="s">
        <v>2480</v>
      </c>
      <c r="D233" s="2039"/>
      <c r="E233" s="2039"/>
      <c r="F233" s="2039"/>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48" t="s">
        <v>2453</v>
      </c>
      <c r="D234" s="2074" t="s">
        <v>984</v>
      </c>
      <c r="E234" s="2075"/>
      <c r="F234" s="2076"/>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48"/>
      <c r="D235" s="1868" t="s">
        <v>2130</v>
      </c>
      <c r="E235" s="1263" t="s">
        <v>2496</v>
      </c>
      <c r="F235" s="1263" t="s">
        <v>2497</v>
      </c>
      <c r="G235" s="2040"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41"/>
      <c r="I235" s="2041"/>
      <c r="J235" s="2041"/>
      <c r="K235" s="2041"/>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2018</v>
      </c>
      <c r="D236" s="1846">
        <v>4110</v>
      </c>
      <c r="E236" s="1846">
        <v>3802.48</v>
      </c>
      <c r="F236" s="1846">
        <v>307.52</v>
      </c>
      <c r="G236" s="2083"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Средний на человека расход воды в сутки ниже норматива по СП 30.13330 «СНиП 2.04.01.85*» на -52%!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H236" s="2084"/>
      <c r="I236" s="2051"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Вероятен перегрев горячей воды!
Стоит обратить внимание на мероприятия:
1 - Установка регуляторов температуры горячей воды;
2 - Модернизация ИТП с установкой теплообменника ГВС;
3 - Установка АИТП.</v>
      </c>
      <c r="J236" s="2051"/>
      <c r="K236" s="2051"/>
      <c r="L236" s="1312">
        <f>$F$248/365/$D$22*1000</f>
        <v>33.517574599129233</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2018</v>
      </c>
      <c r="D237" s="1337">
        <v>3716.64</v>
      </c>
      <c r="E237" s="1337">
        <v>3454.7</v>
      </c>
      <c r="F237" s="1337">
        <v>261.94</v>
      </c>
      <c r="G237" s="2083"/>
      <c r="H237" s="2084"/>
      <c r="I237" s="2051"/>
      <c r="J237" s="2051"/>
      <c r="K237" s="2051"/>
      <c r="L237" s="1312">
        <f>SUMPRODUCT('Система ГВС'!$D$5:$D$9,'Система ГВС'!$E$5:$E$9)*(1-0.4*$D$21/$D$20)</f>
        <v>69.666666666666657</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2018</v>
      </c>
      <c r="D238" s="1337">
        <v>4168.4799999999996</v>
      </c>
      <c r="E238" s="1337">
        <v>3806.46</v>
      </c>
      <c r="F238" s="1337">
        <v>362.03</v>
      </c>
      <c r="G238" s="2083"/>
      <c r="H238" s="2084"/>
      <c r="I238" s="2051"/>
      <c r="J238" s="2051"/>
      <c r="K238" s="2051"/>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2018</v>
      </c>
      <c r="D239" s="1337">
        <v>4048.72</v>
      </c>
      <c r="E239" s="1337">
        <v>3703.07</v>
      </c>
      <c r="F239" s="1337">
        <v>345.65</v>
      </c>
      <c r="G239" s="2083"/>
      <c r="H239" s="2084"/>
      <c r="I239" s="2051"/>
      <c r="J239" s="2051"/>
      <c r="K239" s="2051"/>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v>4122.01</v>
      </c>
      <c r="E240" s="1337">
        <v>3849.13</v>
      </c>
      <c r="F240" s="1337">
        <v>272.89</v>
      </c>
      <c r="G240" s="2083"/>
      <c r="H240" s="2084"/>
      <c r="I240" s="2051"/>
      <c r="J240" s="2051"/>
      <c r="K240" s="2051"/>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v>2447.08</v>
      </c>
      <c r="E241" s="1337">
        <v>2280.52</v>
      </c>
      <c r="F241" s="1337">
        <v>166.56</v>
      </c>
      <c r="G241" s="2083"/>
      <c r="H241" s="2084"/>
      <c r="I241" s="2051"/>
      <c r="J241" s="2051"/>
      <c r="K241" s="2051"/>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v>2325.64</v>
      </c>
      <c r="E242" s="1337">
        <v>2205.25</v>
      </c>
      <c r="F242" s="1337">
        <v>120.38</v>
      </c>
      <c r="G242" s="2083"/>
      <c r="H242" s="2084"/>
      <c r="I242" s="2051"/>
      <c r="J242" s="2051"/>
      <c r="K242" s="2051"/>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v>1879.65</v>
      </c>
      <c r="E243" s="1337">
        <v>1752.84</v>
      </c>
      <c r="F243" s="1337">
        <v>126.81</v>
      </c>
      <c r="G243" s="2083"/>
      <c r="H243" s="2084"/>
      <c r="I243" s="2051"/>
      <c r="J243" s="2051"/>
      <c r="K243" s="2051"/>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2017</v>
      </c>
      <c r="D244" s="1337">
        <v>3941.99</v>
      </c>
      <c r="E244" s="1337">
        <v>3642.87</v>
      </c>
      <c r="F244" s="1337">
        <v>299.12</v>
      </c>
      <c r="G244" s="2083"/>
      <c r="H244" s="2084"/>
      <c r="I244" s="2051"/>
      <c r="J244" s="2051"/>
      <c r="K244" s="2051"/>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2017</v>
      </c>
      <c r="D245" s="1337">
        <v>4045.41</v>
      </c>
      <c r="E245" s="1337">
        <v>3739.14</v>
      </c>
      <c r="F245" s="1337">
        <v>306.26</v>
      </c>
      <c r="G245" s="2083"/>
      <c r="H245" s="2084"/>
      <c r="I245" s="2051"/>
      <c r="J245" s="2051"/>
      <c r="K245" s="2051"/>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2017</v>
      </c>
      <c r="D246" s="1337">
        <v>3970.67</v>
      </c>
      <c r="E246" s="1337">
        <v>3688.69</v>
      </c>
      <c r="F246" s="1337">
        <v>281.98</v>
      </c>
      <c r="G246" s="2083"/>
      <c r="H246" s="2084"/>
      <c r="I246" s="2051"/>
      <c r="J246" s="2051"/>
      <c r="K246" s="2051"/>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2017</v>
      </c>
      <c r="D247" s="1847">
        <v>4106.83</v>
      </c>
      <c r="E247" s="1847">
        <v>3801.62</v>
      </c>
      <c r="F247" s="1847">
        <v>305.20999999999998</v>
      </c>
      <c r="G247" s="2083"/>
      <c r="H247" s="2084"/>
      <c r="I247" s="2051"/>
      <c r="J247" s="2051"/>
      <c r="K247" s="2051"/>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19">
        <f>SUM(D236:D247)</f>
        <v>42883.119999999995</v>
      </c>
      <c r="E248" s="1919">
        <f>SUM(E236:E247)</f>
        <v>39726.770000000004</v>
      </c>
      <c r="F248" s="1920">
        <f>SUM(F236:F247)</f>
        <v>3156.35</v>
      </c>
      <c r="G248" s="2083"/>
      <c r="H248" s="2084"/>
      <c r="I248" s="2051"/>
      <c r="J248" s="2051"/>
      <c r="K248" s="2051"/>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39" t="s">
        <v>2481</v>
      </c>
      <c r="D250" s="2039"/>
      <c r="E250" s="2039"/>
      <c r="F250" s="2039"/>
      <c r="G250" s="2039"/>
      <c r="H250" s="2039"/>
      <c r="I250" s="2039"/>
      <c r="J250" s="2039"/>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2095" t="s">
        <v>2453</v>
      </c>
      <c r="D251" s="2077" t="s">
        <v>1967</v>
      </c>
      <c r="E251" s="2079" t="s">
        <v>1966</v>
      </c>
      <c r="F251" s="2080" t="s">
        <v>1968</v>
      </c>
      <c r="G251" s="2081"/>
      <c r="H251" s="2081"/>
      <c r="I251" s="2081"/>
      <c r="J251" s="2082"/>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2095"/>
      <c r="D252" s="2078"/>
      <c r="E252" s="2079"/>
      <c r="F252" s="1867"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2018</v>
      </c>
      <c r="D253" s="1934"/>
      <c r="E253" s="1934"/>
      <c r="F253" s="1846">
        <v>2.1120000000000001</v>
      </c>
      <c r="G253" s="1846"/>
      <c r="H253" s="1846"/>
      <c r="I253" s="1869"/>
      <c r="J253" s="1870"/>
      <c r="K253" s="2090" t="s">
        <v>1964</v>
      </c>
      <c r="L253" s="2090"/>
      <c r="M253" s="50"/>
      <c r="N253" s="50"/>
      <c r="O253" s="50"/>
      <c r="P253" s="1843">
        <f>SUM(Q253:S253,W253)</f>
        <v>4.3700657534246581</v>
      </c>
      <c r="Q253" s="1844">
        <f>($D$151*$F$151*списки!$C$65+$F$152*$D$152*списки!$C$66+$F$153*$D$153*списки!$C$67+$F$154*$D$154*списки!$C$68+$F$155*$D$155*списки!$C$69+$F$156*$D$156*списки!$C$70)*($J273/SUM($J$273:$J$284))*10^-6   +N("1 / 1 000 000 - переводной коэффициент [Вт-ч] --&gt; [тыс. кВт-ч]")</f>
        <v>0.2593808219178082</v>
      </c>
      <c r="R253" s="1844">
        <f>$D$161*списки!$C$72*($J273/SUM($J$273:$J$284))*10^-3   +N("1 / 1000 - переводной коэффициент [кВт-ч] --&gt; [тыс. кВт-ч]")</f>
        <v>4.1106849315068494</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2.1119999999999997</v>
      </c>
      <c r="Z253" s="1844">
        <f>IF(G253=0,IFERROR($F253*Q253/$P253,0),G253)</f>
        <v>0.12535561861079797</v>
      </c>
      <c r="AA253" s="1844">
        <f t="shared" ref="AA253:AA264" si="14">IF(H253=0,IF(AND(G253&lt;&gt;0,$D$161&lt;&gt;0,SUM($D$165,$D$169,$D$173,$D$179)=0),F253-G253,IFERROR($F253*R253/$P253,0)),H253)</f>
        <v>1.9866443813892019</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2018</v>
      </c>
      <c r="D254" s="1935"/>
      <c r="E254" s="1935"/>
      <c r="F254" s="1337">
        <v>2.0019999999999998</v>
      </c>
      <c r="G254" s="1337"/>
      <c r="H254" s="1337"/>
      <c r="I254" s="1334"/>
      <c r="J254" s="1333"/>
      <c r="K254" s="2090"/>
      <c r="L254" s="2090"/>
      <c r="M254" s="50"/>
      <c r="N254" s="50"/>
      <c r="O254" s="50"/>
      <c r="P254" s="1843">
        <f t="shared" ref="P254:P264" si="17">SUM(Q254:S254,W254)</f>
        <v>3.9471561643835615</v>
      </c>
      <c r="Q254" s="1844">
        <f>($D$151*$F$151*списки!$C$65+$F$152*$D$152*списки!$C$66+$F$153*$D$153*списки!$C$67+$F$154*$D$154*списки!$C$68+$F$155*$D$155*списки!$C$69+$F$156*$D$156*списки!$C$70)*($J274/SUM($J$273:$J$284))*10^-6   +N("1 / 1 000 000 - переводной коэффициент [Вт-ч] --&gt; [тыс. кВт-ч]")</f>
        <v>0.23427945205479453</v>
      </c>
      <c r="R254" s="1844">
        <f>$D$161*списки!$C$72*($J274/SUM($J$273:$J$284))*10^-3   +N("1 / 1000 - переводной коэффициент [кВт-ч] --&gt; [тыс. кВт-ч]")</f>
        <v>3.7128767123287671</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2.0019999999999998</v>
      </c>
      <c r="Z254" s="1844">
        <f t="shared" ref="Z254:Z264" si="20">IF(G254=0,IFERROR($F254*Q254/$P254,0),G254)</f>
        <v>0.11882668014148559</v>
      </c>
      <c r="AA254" s="1844">
        <f t="shared" si="14"/>
        <v>1.8831733198585141</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2018</v>
      </c>
      <c r="D255" s="1935"/>
      <c r="E255" s="1935"/>
      <c r="F255" s="1337">
        <v>1.667</v>
      </c>
      <c r="G255" s="1337"/>
      <c r="H255" s="1337"/>
      <c r="I255" s="1334"/>
      <c r="J255" s="1333"/>
      <c r="K255" s="2090"/>
      <c r="L255" s="2090"/>
      <c r="M255" s="50"/>
      <c r="N255" s="50"/>
      <c r="O255" s="50"/>
      <c r="P255" s="1843">
        <f t="shared" si="17"/>
        <v>4.3700657534246581</v>
      </c>
      <c r="Q255" s="1844">
        <f>($D$151*$F$151*списки!$C$65+$F$152*$D$152*списки!$C$66+$F$153*$D$153*списки!$C$67+$F$154*$D$154*списки!$C$68+$F$155*$D$155*списки!$C$69+$F$156*$D$156*списки!$C$70)*($J275/SUM($J$273:$J$284))*10^-6   +N("1 / 1 000 000 - переводной коэффициент [Вт-ч] --&gt; [тыс. кВт-ч]")</f>
        <v>0.2593808219178082</v>
      </c>
      <c r="R255" s="1844">
        <f>$D$161*списки!$C$72*($J275/SUM($J$273:$J$284))*10^-3   +N("1 / 1000 - переводной коэффициент [кВт-ч] --&gt; [тыс. кВт-ч]")</f>
        <v>4.1106849315068494</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1.6669999999999998</v>
      </c>
      <c r="Z255" s="1844">
        <f t="shared" si="20"/>
        <v>9.8943094803125103E-2</v>
      </c>
      <c r="AA255" s="1844">
        <f t="shared" si="14"/>
        <v>1.5680569051968747</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2018</v>
      </c>
      <c r="D256" s="1935"/>
      <c r="E256" s="1935"/>
      <c r="F256" s="1337">
        <v>1.4319999999999999</v>
      </c>
      <c r="G256" s="1337"/>
      <c r="H256" s="1337"/>
      <c r="I256" s="1334"/>
      <c r="J256" s="1333"/>
      <c r="K256" s="2090"/>
      <c r="L256" s="2090"/>
      <c r="M256" s="50"/>
      <c r="N256" s="50"/>
      <c r="O256" s="50"/>
      <c r="P256" s="1843">
        <f t="shared" si="17"/>
        <v>4.2290958904109583</v>
      </c>
      <c r="Q256" s="1844">
        <f>($D$151*$F$151*списки!$C$65+$F$152*$D$152*списки!$C$66+$F$153*$D$153*списки!$C$67+$F$154*$D$154*списки!$C$68+$F$155*$D$155*списки!$C$69+$F$156*$D$156*списки!$C$70)*($J276/SUM($J$273:$J$284))*10^-6   +N("1 / 1 000 000 - переводной коэффициент [Вт-ч] --&gt; [тыс. кВт-ч]")</f>
        <v>0.25101369863013695</v>
      </c>
      <c r="R256" s="1844">
        <f>$D$161*списки!$C$72*($J276/SUM($J$273:$J$284))*10^-3   +N("1 / 1000 - переводной коэффициент [кВт-ч] --&gt; [тыс. кВт-ч]")</f>
        <v>3.9780821917808216</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1.4319999999999999</v>
      </c>
      <c r="Z256" s="1844">
        <f t="shared" si="20"/>
        <v>8.4994908073230457E-2</v>
      </c>
      <c r="AA256" s="1844">
        <f t="shared" si="14"/>
        <v>1.3470050919267695</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5"/>
      <c r="E257" s="1935"/>
      <c r="F257" s="1337">
        <v>1.274</v>
      </c>
      <c r="G257" s="1337"/>
      <c r="H257" s="1337"/>
      <c r="I257" s="1334"/>
      <c r="J257" s="1333"/>
      <c r="K257" s="2090"/>
      <c r="L257" s="2090"/>
      <c r="M257" s="50"/>
      <c r="N257" s="50"/>
      <c r="O257" s="50"/>
      <c r="P257" s="1843">
        <f t="shared" si="17"/>
        <v>4.3700657534246581</v>
      </c>
      <c r="Q257" s="1844">
        <f>($D$151*$F$151*списки!$C$65+$F$152*$D$152*списки!$C$66+$F$153*$D$153*списки!$C$67+$F$154*$D$154*списки!$C$68+$F$155*$D$155*списки!$C$69+$F$156*$D$156*списки!$C$70)*($J277/SUM($J$273:$J$284))*10^-6   +N("1 / 1 000 000 - переводной коэффициент [Вт-ч] --&gt; [тыс. кВт-ч]")</f>
        <v>0.2593808219178082</v>
      </c>
      <c r="R257" s="1844">
        <f>$D$161*списки!$C$72*($J277/SUM($J$273:$J$284))*10^-3   +N("1 / 1000 - переводной коэффициент [кВт-ч] --&gt; [тыс. кВт-ч]")</f>
        <v>4.1106849315068494</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1.274</v>
      </c>
      <c r="Z257" s="1844">
        <f t="shared" si="20"/>
        <v>7.5616978271854457E-2</v>
      </c>
      <c r="AA257" s="1844">
        <f t="shared" si="14"/>
        <v>1.1983830217281455</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5"/>
      <c r="E258" s="1935"/>
      <c r="F258" s="1337">
        <v>1.2649999999999999</v>
      </c>
      <c r="G258" s="1337"/>
      <c r="H258" s="1337"/>
      <c r="I258" s="1334"/>
      <c r="J258" s="1333"/>
      <c r="K258" s="2090"/>
      <c r="L258" s="2090"/>
      <c r="M258" s="50"/>
      <c r="N258" s="50"/>
      <c r="O258" s="50"/>
      <c r="P258" s="1843">
        <f t="shared" si="17"/>
        <v>4.2290958904109583</v>
      </c>
      <c r="Q258" s="1844">
        <f>($D$151*$F$151*списки!$C$65+$F$152*$D$152*списки!$C$66+$F$153*$D$153*списки!$C$67+$F$154*$D$154*списки!$C$68+$F$155*$D$155*списки!$C$69+$F$156*$D$156*списки!$C$70)*($J278/SUM($J$273:$J$284))*10^-6   +N("1 / 1 000 000 - переводной коэффициент [Вт-ч] --&gt; [тыс. кВт-ч]")</f>
        <v>0.25101369863013695</v>
      </c>
      <c r="R258" s="1844">
        <f>$D$161*списки!$C$72*($J278/SUM($J$273:$J$284))*10^-3   +N("1 / 1000 - переводной коэффициент [кВт-ч] --&gt; [тыс. кВт-ч]")</f>
        <v>3.9780821917808216</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1.2649999999999999</v>
      </c>
      <c r="Z258" s="1844">
        <f t="shared" si="20"/>
        <v>7.5082792397092549E-2</v>
      </c>
      <c r="AA258" s="1844">
        <f t="shared" si="14"/>
        <v>1.1899172076029074</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5"/>
      <c r="E259" s="1935"/>
      <c r="F259" s="1337">
        <v>1.143</v>
      </c>
      <c r="G259" s="1337"/>
      <c r="H259" s="1337"/>
      <c r="I259" s="1334"/>
      <c r="J259" s="1333"/>
      <c r="K259" s="2090"/>
      <c r="L259" s="2090"/>
      <c r="M259" s="50"/>
      <c r="N259" s="50"/>
      <c r="O259" s="50"/>
      <c r="P259" s="1843">
        <f t="shared" si="17"/>
        <v>4.3700657534246581</v>
      </c>
      <c r="Q259" s="1844">
        <f>($D$151*$F$151*списки!$C$65+$F$152*$D$152*списки!$C$66+$F$153*$D$153*списки!$C$67+$F$154*$D$154*списки!$C$68+$F$155*$D$155*списки!$C$69+$F$156*$D$156*списки!$C$70)*($J279/SUM($J$273:$J$284))*10^-6   +N("1 / 1 000 000 - переводной коэффициент [Вт-ч] --&gt; [тыс. кВт-ч]")</f>
        <v>0.2593808219178082</v>
      </c>
      <c r="R259" s="1844">
        <f>$D$161*списки!$C$72*($J279/SUM($J$273:$J$284))*10^-3   +N("1 / 1000 - переводной коэффициент [кВт-ч] --&gt; [тыс. кВт-ч]")</f>
        <v>4.1106849315068494</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1.1429999999999998</v>
      </c>
      <c r="Z259" s="1844">
        <f t="shared" si="20"/>
        <v>6.7841606094764251E-2</v>
      </c>
      <c r="AA259" s="1844">
        <f t="shared" si="14"/>
        <v>1.0751583939052356</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5"/>
      <c r="E260" s="1935"/>
      <c r="F260" s="1337">
        <v>1.131</v>
      </c>
      <c r="G260" s="1337"/>
      <c r="H260" s="1337"/>
      <c r="I260" s="1334"/>
      <c r="J260" s="1333"/>
      <c r="K260" s="2090"/>
      <c r="L260" s="2090"/>
      <c r="M260" s="50"/>
      <c r="N260" s="50"/>
      <c r="O260" s="50"/>
      <c r="P260" s="1843">
        <f t="shared" si="17"/>
        <v>4.3700657534246581</v>
      </c>
      <c r="Q260" s="1844">
        <f>($D$151*$F$151*списки!$C$65+$F$152*$D$152*списки!$C$66+$F$153*$D$153*списки!$C$67+$F$154*$D$154*списки!$C$68+$F$155*$D$155*списки!$C$69+$F$156*$D$156*списки!$C$70)*($J280/SUM($J$273:$J$284))*10^-6   +N("1 / 1 000 000 - переводной коэффициент [Вт-ч] --&gt; [тыс. кВт-ч]")</f>
        <v>0.2593808219178082</v>
      </c>
      <c r="R260" s="1844">
        <f>$D$161*списки!$C$72*($J280/SUM($J$273:$J$284))*10^-3   +N("1 / 1000 - переводной коэффициент [кВт-ч] --&gt; [тыс. кВт-ч]")</f>
        <v>4.1106849315068494</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1.1309999999999998</v>
      </c>
      <c r="Z260" s="1844">
        <f t="shared" si="20"/>
        <v>6.7129358261748345E-2</v>
      </c>
      <c r="AA260" s="1844">
        <f t="shared" si="14"/>
        <v>1.0638706417382515</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2017</v>
      </c>
      <c r="D261" s="1935"/>
      <c r="E261" s="1935"/>
      <c r="F261" s="1337">
        <v>1.117</v>
      </c>
      <c r="G261" s="1337"/>
      <c r="H261" s="1337"/>
      <c r="I261" s="1334"/>
      <c r="J261" s="1333"/>
      <c r="K261" s="2090"/>
      <c r="L261" s="2090"/>
      <c r="M261" s="50"/>
      <c r="N261" s="50"/>
      <c r="O261" s="50"/>
      <c r="P261" s="1843">
        <f t="shared" si="17"/>
        <v>4.2290958904109583</v>
      </c>
      <c r="Q261" s="1844">
        <f>($D$151*$F$151*списки!$C$65+$F$152*$D$152*списки!$C$66+$F$153*$D$153*списки!$C$67+$F$154*$D$154*списки!$C$68+$F$155*$D$155*списки!$C$69+$F$156*$D$156*списки!$C$70)*($J281/SUM($J$273:$J$284))*10^-6   +N("1 / 1 000 000 - переводной коэффициент [Вт-ч] --&gt; [тыс. кВт-ч]")</f>
        <v>0.25101369863013695</v>
      </c>
      <c r="R261" s="1844">
        <f>$D$161*списки!$C$72*($J281/SUM($J$273:$J$284))*10^-3   +N("1 / 1000 - переводной коэффициент [кВт-ч] --&gt; [тыс. кВт-ч]")</f>
        <v>3.9780821917808216</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1.117</v>
      </c>
      <c r="Z261" s="1844">
        <f t="shared" si="20"/>
        <v>6.6298402456563141E-2</v>
      </c>
      <c r="AA261" s="1844">
        <f t="shared" si="14"/>
        <v>1.0507015975434368</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2017</v>
      </c>
      <c r="D262" s="1935"/>
      <c r="E262" s="1935"/>
      <c r="F262" s="1337">
        <v>1.121</v>
      </c>
      <c r="G262" s="1337"/>
      <c r="H262" s="1337"/>
      <c r="I262" s="1334"/>
      <c r="J262" s="1333"/>
      <c r="K262" s="2090"/>
      <c r="L262" s="2090"/>
      <c r="M262" s="50"/>
      <c r="N262" s="50"/>
      <c r="O262" s="50"/>
      <c r="P262" s="1843">
        <f t="shared" si="17"/>
        <v>4.3700657534246581</v>
      </c>
      <c r="Q262" s="1844">
        <f>($D$151*$F$151*списки!$C$65+$F$152*$D$152*списки!$C$66+$F$153*$D$153*списки!$C$67+$F$154*$D$154*списки!$C$68+$F$155*$D$155*списки!$C$69+$F$156*$D$156*списки!$C$70)*($J282/SUM($J$273:$J$284))*10^-6   +N("1 / 1 000 000 - переводной коэффициент [Вт-ч] --&gt; [тыс. кВт-ч]")</f>
        <v>0.2593808219178082</v>
      </c>
      <c r="R262" s="1844">
        <f>$D$161*списки!$C$72*($J282/SUM($J$273:$J$284))*10^-3   +N("1 / 1000 - переводной коэффициент [кВт-ч] --&gt; [тыс. кВт-ч]")</f>
        <v>4.1106849315068494</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1.121</v>
      </c>
      <c r="Z262" s="1844">
        <f t="shared" si="20"/>
        <v>6.6535818400901753E-2</v>
      </c>
      <c r="AA262" s="1844">
        <f t="shared" si="14"/>
        <v>1.0544641815990983</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2017</v>
      </c>
      <c r="D263" s="1935"/>
      <c r="E263" s="1935"/>
      <c r="F263" s="1337">
        <v>1.282</v>
      </c>
      <c r="G263" s="1337"/>
      <c r="H263" s="1337"/>
      <c r="I263" s="1334"/>
      <c r="J263" s="1333"/>
      <c r="K263" s="2090"/>
      <c r="L263" s="2090"/>
      <c r="M263" s="50"/>
      <c r="N263" s="50"/>
      <c r="O263" s="50"/>
      <c r="P263" s="1843">
        <f t="shared" si="17"/>
        <v>4.2290958904109583</v>
      </c>
      <c r="Q263" s="1844">
        <f>($D$151*$F$151*списки!$C$65+$F$152*$D$152*списки!$C$66+$F$153*$D$153*списки!$C$67+$F$154*$D$154*списки!$C$68+$F$155*$D$155*списки!$C$69+$F$156*$D$156*списки!$C$70)*($J283/SUM($J$273:$J$284))*10^-6   +N("1 / 1 000 000 - переводной коэффициент [Вт-ч] --&gt; [тыс. кВт-ч]")</f>
        <v>0.25101369863013695</v>
      </c>
      <c r="R263" s="1844">
        <f>$D$161*списки!$C$72*($J283/SUM($J$273:$J$284))*10^-3   +N("1 / 1000 - переводной коэффициент [кВт-ч] --&gt; [тыс. кВт-ч]")</f>
        <v>3.9780821917808216</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1.282</v>
      </c>
      <c r="Z263" s="1844">
        <f t="shared" si="20"/>
        <v>7.6091810160531737E-2</v>
      </c>
      <c r="AA263" s="1844">
        <f t="shared" si="14"/>
        <v>1.2059081898394683</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2017</v>
      </c>
      <c r="D264" s="1936"/>
      <c r="E264" s="1936"/>
      <c r="F264" s="1847">
        <v>1.27</v>
      </c>
      <c r="G264" s="1847"/>
      <c r="H264" s="1847"/>
      <c r="I264" s="1871"/>
      <c r="J264" s="1872"/>
      <c r="K264" s="2090"/>
      <c r="L264" s="2090"/>
      <c r="M264" s="50"/>
      <c r="N264" s="50"/>
      <c r="O264" s="50"/>
      <c r="P264" s="1843">
        <f t="shared" si="17"/>
        <v>4.3700657534246581</v>
      </c>
      <c r="Q264" s="1844">
        <f>($D$151*$F$151*списки!$C$65+$F$152*$D$152*списки!$C$66+$F$153*$D$153*списки!$C$67+$F$154*$D$154*списки!$C$68+$F$155*$D$155*списки!$C$69+$F$156*$D$156*списки!$C$70)*($J284/SUM($J$273:$J$284))*10^-6   +N("1 / 1 000 000 - переводной коэффициент [Вт-ч] --&gt; [тыс. кВт-ч]")</f>
        <v>0.2593808219178082</v>
      </c>
      <c r="R264" s="1844">
        <f>$D$161*списки!$C$72*($J284/SUM($J$273:$J$284))*10^-3   +N("1 / 1000 - переводной коэффициент [кВт-ч] --&gt; [тыс. кВт-ч]")</f>
        <v>4.1106849315068494</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1.2699999999999998</v>
      </c>
      <c r="Z264" s="1844">
        <f t="shared" si="20"/>
        <v>7.5379562327515831E-2</v>
      </c>
      <c r="AA264" s="1844">
        <f t="shared" si="14"/>
        <v>1.194620437672484</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19">
        <f t="shared" ref="D265:J265" si="24">SUM(D253:D264)</f>
        <v>0</v>
      </c>
      <c r="E265" s="1919">
        <f t="shared" si="24"/>
        <v>0</v>
      </c>
      <c r="F265" s="1919">
        <f t="shared" si="24"/>
        <v>16.816000000000003</v>
      </c>
      <c r="G265" s="1919">
        <f t="shared" si="24"/>
        <v>0</v>
      </c>
      <c r="H265" s="1919">
        <f t="shared" si="24"/>
        <v>0</v>
      </c>
      <c r="I265" s="1919">
        <f t="shared" si="24"/>
        <v>0</v>
      </c>
      <c r="J265" s="1920">
        <f t="shared" si="24"/>
        <v>0</v>
      </c>
      <c r="K265" s="2090"/>
      <c r="L265" s="2090"/>
      <c r="M265" s="50"/>
      <c r="N265" s="50"/>
      <c r="O265" s="50"/>
      <c r="P265" s="1843">
        <f t="shared" ref="P265:W265" si="25">SUM(P253:P264)</f>
        <v>51.453999999999994</v>
      </c>
      <c r="Q265" s="1844">
        <f t="shared" si="25"/>
        <v>3.0539999999999994</v>
      </c>
      <c r="R265" s="1844">
        <f t="shared" si="25"/>
        <v>48.399999999999991</v>
      </c>
      <c r="S265" s="1844">
        <f t="shared" si="25"/>
        <v>0</v>
      </c>
      <c r="T265" s="1844">
        <f t="shared" si="25"/>
        <v>0</v>
      </c>
      <c r="U265" s="1844">
        <f t="shared" si="25"/>
        <v>0</v>
      </c>
      <c r="V265" s="1844">
        <f t="shared" si="25"/>
        <v>0</v>
      </c>
      <c r="W265" s="1844">
        <f t="shared" si="25"/>
        <v>0</v>
      </c>
      <c r="X265" s="1322"/>
      <c r="Y265" s="1843">
        <f>ROUND(SUM(Z265:AB265,AF265),5)</f>
        <v>16.815999999999999</v>
      </c>
      <c r="Z265" s="1844">
        <f>ROUND(IF(G265=0,IFERROR($F265*Q265/$P265,0),G265),5)</f>
        <v>0.99809999999999999</v>
      </c>
      <c r="AA265" s="1844">
        <f>ROUND(IF(H265=0,IF(AND(G265&lt;&gt;0,$D$161&lt;&gt;0,SUM($D$165,$D$169,$D$173,$D$179)=0),F265-G265,IFERROR($F265*R265/$P265,0)),H265),5)</f>
        <v>15.8179</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52"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52"/>
      <c r="H266" s="2052"/>
      <c r="I266" s="2052"/>
      <c r="J266" s="2052"/>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38" t="str">
        <f>IF(SUM(G265:J265)&gt;F265,"Сумма компонентов больше графы Всего","")</f>
        <v/>
      </c>
      <c r="G267" s="2038"/>
      <c r="H267" s="2038"/>
      <c r="I267" s="2038"/>
      <c r="J267" s="2038"/>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38" t="str">
        <f>IF(AND(G265&lt;&gt;0,F265&gt;G265,H265=0,I265=0,J265=0,SUM(D179+D175+D171+D167+D161)=0),"Есть неизвестный потребитель электроэнергии. Проверьте, действительно ли лифты и насосы отсутствуют","")</f>
        <v/>
      </c>
      <c r="G268" s="2038"/>
      <c r="H268" s="2038"/>
      <c r="I268" s="2038"/>
      <c r="J268" s="2038"/>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2073"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073"/>
      <c r="H269" s="2073"/>
      <c r="I269" s="2073"/>
      <c r="J269" s="2073"/>
      <c r="K269" s="2073"/>
      <c r="L269" s="2073"/>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53" t="s">
        <v>2475</v>
      </c>
      <c r="D270" s="2053"/>
      <c r="E270" s="2053"/>
      <c r="F270" s="2053"/>
      <c r="G270" s="2053"/>
      <c r="H270" s="2053"/>
      <c r="I270" s="2053"/>
      <c r="J270" s="2053"/>
      <c r="K270" s="2053"/>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2453</v>
      </c>
      <c r="D271" s="2054" t="s">
        <v>2162</v>
      </c>
      <c r="E271" s="2055"/>
      <c r="F271" s="2047" t="s">
        <v>2161</v>
      </c>
      <c r="G271" s="2047"/>
      <c r="H271" s="2062" t="s">
        <v>1260</v>
      </c>
      <c r="I271" s="2071" t="s">
        <v>1264</v>
      </c>
      <c r="J271" s="2071" t="s">
        <v>2466</v>
      </c>
      <c r="K271" s="2058" t="s">
        <v>1266</v>
      </c>
      <c r="L271" s="14"/>
      <c r="M271" s="1977" t="s">
        <v>2467</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2458</v>
      </c>
      <c r="D272" s="1865" t="s">
        <v>985</v>
      </c>
      <c r="E272" s="1866" t="s">
        <v>2463</v>
      </c>
      <c r="F272" s="1865" t="s">
        <v>1261</v>
      </c>
      <c r="G272" s="1866" t="s">
        <v>2464</v>
      </c>
      <c r="H272" s="2062"/>
      <c r="I272" s="2071"/>
      <c r="J272" s="2071"/>
      <c r="K272" s="2059"/>
      <c r="L272" s="14"/>
      <c r="M272" s="1977"/>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2018</v>
      </c>
      <c r="D273" s="1873">
        <f>IFERROR(Климатология!AI2,"")</f>
        <v>-13.9</v>
      </c>
      <c r="E273" s="1874">
        <v>-11.2</v>
      </c>
      <c r="F273" s="1875">
        <f>IFERROR(Климатология!AL2,"")</f>
        <v>1050.8999999999999</v>
      </c>
      <c r="G273" s="1875">
        <f ca="1">IFERROR((списки!$C$56-IF(I273&lt;0.5*J273,8,E273))*I273,"")</f>
        <v>967.19999999999993</v>
      </c>
      <c r="H273" s="1876">
        <f ca="1">IFERROR(IF(G273=0,0,F273/G273),0)</f>
        <v>1.0865384615384615</v>
      </c>
      <c r="I273" s="1873">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3">
        <v>31</v>
      </c>
      <c r="K273" s="1877">
        <f ca="1">IF(ISBLANK(E273),"",IF(I273&lt;0.5*J273,8,E273)*I273)</f>
        <v>-347.2</v>
      </c>
      <c r="L273" s="1268">
        <f ca="1">IF(AND(I273&gt;0,E273=0),1,0)</f>
        <v>0</v>
      </c>
      <c r="M273" s="1894">
        <f ca="1">(списки!C$60*N(I273)+списки!C$61*(J273-N(I273)))/J273</f>
        <v>5</v>
      </c>
      <c r="N273" s="14"/>
      <c r="O273" s="14"/>
      <c r="P273" s="1891"/>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2018</v>
      </c>
      <c r="D274" s="1313">
        <f>IFERROR(Климатология!AM2,"")</f>
        <v>-12.3</v>
      </c>
      <c r="E274" s="1338">
        <v>-11.9</v>
      </c>
      <c r="F274" s="1415">
        <f>IFERROR(Климатология!AP2,"")</f>
        <v>904.39999999999986</v>
      </c>
      <c r="G274" s="1875">
        <f ca="1">IFERROR((списки!$C$56-IF(I274&lt;0.5*J274,8,E274))*I274,"")</f>
        <v>893.19999999999993</v>
      </c>
      <c r="H274" s="1315">
        <f t="shared" ref="H274:H284" ca="1" si="27">IFERROR(IF(G274=0,0,F274/G274),0)</f>
        <v>1.0125391849529779</v>
      </c>
      <c r="I274" s="1873">
        <f t="shared" ca="1" si="26"/>
        <v>28</v>
      </c>
      <c r="J274" s="1693">
        <f>IFERROR(EDATE(DATEVALUE(C274),1)-DATEVALUE(C274),28)</f>
        <v>28</v>
      </c>
      <c r="K274" s="1316">
        <f t="shared" ref="K274:K278" ca="1" si="28">IF(ISBLANK(E274),"",IF(I274&lt;0.5*J274,8,E274)*I274)</f>
        <v>-333.2</v>
      </c>
      <c r="L274" s="1268">
        <f t="shared" ref="L274:L285" ca="1" si="29">IF(AND(I274&gt;0,E274=0),1,0)</f>
        <v>0</v>
      </c>
      <c r="M274" s="1894">
        <f ca="1">(списки!C$60*N(I274)+списки!C$61*(J274-N(I274)))/J274</f>
        <v>5</v>
      </c>
      <c r="N274" s="14"/>
      <c r="O274" s="14"/>
      <c r="P274" s="1891"/>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2018</v>
      </c>
      <c r="D275" s="1313">
        <f>IFERROR(Климатология!AQ2,"")</f>
        <v>-4.5</v>
      </c>
      <c r="E275" s="1338">
        <v>-8.9</v>
      </c>
      <c r="F275" s="1415">
        <f>IFERROR(Климатология!AT2,"")</f>
        <v>759.5</v>
      </c>
      <c r="G275" s="1875">
        <f ca="1">IFERROR((списки!$C$56-IF(I275&lt;0.5*J275,8,E275))*I275,"")</f>
        <v>895.9</v>
      </c>
      <c r="H275" s="1315">
        <f t="shared" ca="1" si="27"/>
        <v>0.84775086505190311</v>
      </c>
      <c r="I275" s="1873">
        <f t="shared" ca="1" si="26"/>
        <v>31</v>
      </c>
      <c r="J275" s="1313">
        <v>31</v>
      </c>
      <c r="K275" s="1316">
        <f t="shared" ca="1" si="28"/>
        <v>-275.90000000000003</v>
      </c>
      <c r="L275" s="1268">
        <f t="shared" ca="1" si="29"/>
        <v>0</v>
      </c>
      <c r="M275" s="1894">
        <f ca="1">(списки!C$60*N(I275)+списки!C$61*(J275-N(I275)))/J275</f>
        <v>5</v>
      </c>
      <c r="N275" s="14"/>
      <c r="O275" s="14"/>
      <c r="P275" s="1891"/>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2018</v>
      </c>
      <c r="D276" s="1313">
        <f>IFERROR(Климатология!AU2,"")</f>
        <v>3.5</v>
      </c>
      <c r="E276" s="1338">
        <v>2.6</v>
      </c>
      <c r="F276" s="1415">
        <f>IFERROR(Климатология!AX2,"")</f>
        <v>495</v>
      </c>
      <c r="G276" s="1875">
        <f ca="1">IFERROR((списки!$C$56-IF(I276&lt;0.5*J276,8,E276))*I276,"")</f>
        <v>522</v>
      </c>
      <c r="H276" s="1315">
        <f t="shared" ca="1" si="27"/>
        <v>0.94827586206896552</v>
      </c>
      <c r="I276" s="1873">
        <f t="shared" ca="1" si="26"/>
        <v>30</v>
      </c>
      <c r="J276" s="1313">
        <v>30</v>
      </c>
      <c r="K276" s="1316">
        <f t="shared" ca="1" si="28"/>
        <v>78</v>
      </c>
      <c r="L276" s="1268">
        <f t="shared" ca="1" si="29"/>
        <v>0</v>
      </c>
      <c r="M276" s="1894">
        <f ca="1">(списки!C$60*N(I276)+списки!C$61*(J276-N(I276)))/J276</f>
        <v>5</v>
      </c>
      <c r="N276" s="14"/>
      <c r="O276" s="14"/>
      <c r="P276" s="1891"/>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10.6</v>
      </c>
      <c r="E277" s="1338">
        <v>7.6</v>
      </c>
      <c r="F277" s="1415">
        <f>IFERROR(Климатология!BB2,"")</f>
        <v>61.1</v>
      </c>
      <c r="G277" s="1875">
        <f ca="1">IFERROR((списки!$C$56-IF(I277&lt;0.5*J277,8,E277))*I277,"")</f>
        <v>180</v>
      </c>
      <c r="H277" s="1315">
        <f t="shared" ca="1" si="27"/>
        <v>0.33944444444444444</v>
      </c>
      <c r="I277" s="1873">
        <f t="shared" ca="1" si="26"/>
        <v>15</v>
      </c>
      <c r="J277" s="1313">
        <v>31</v>
      </c>
      <c r="K277" s="1316">
        <f t="shared" ca="1" si="28"/>
        <v>120</v>
      </c>
      <c r="L277" s="1268">
        <f t="shared" ca="1" si="29"/>
        <v>0</v>
      </c>
      <c r="M277" s="1894">
        <f ca="1">(списки!C$60*N(I277)+списки!C$61*(J277-N(I277)))/J277</f>
        <v>10.161290322580646</v>
      </c>
      <c r="N277" s="14"/>
      <c r="O277" s="14"/>
      <c r="P277" s="1891"/>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15.8</v>
      </c>
      <c r="E278" s="1338"/>
      <c r="F278" s="1415">
        <f>IFERROR(Климатология!BF2,"")</f>
        <v>0</v>
      </c>
      <c r="G278" s="1875">
        <f ca="1">IFERROR((списки!$C$56-IF(I278&lt;0.5*J278,8,E278))*I278,"")</f>
        <v>0</v>
      </c>
      <c r="H278" s="1315">
        <f t="shared" ca="1" si="27"/>
        <v>0</v>
      </c>
      <c r="I278" s="1873">
        <f t="shared" ca="1" si="26"/>
        <v>0</v>
      </c>
      <c r="J278" s="1313">
        <v>30</v>
      </c>
      <c r="K278" s="1316" t="str">
        <f t="shared" si="28"/>
        <v/>
      </c>
      <c r="L278" s="1268">
        <f t="shared" ca="1" si="29"/>
        <v>0</v>
      </c>
      <c r="M278" s="1894">
        <f ca="1">(списки!C$60*N(I278)+списки!C$61*(J278-N(I278)))/J278</f>
        <v>15</v>
      </c>
      <c r="N278" s="14"/>
      <c r="O278" s="14"/>
      <c r="P278" s="1891"/>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18.2</v>
      </c>
      <c r="E279" s="1338"/>
      <c r="F279" s="1415">
        <f>IFERROR(Климатология!N2,"")</f>
        <v>0</v>
      </c>
      <c r="G279" s="1875">
        <f ca="1">IFERROR((списки!$C$56-IF(I279&lt;0.5*J279,8,E279))*I279,"")</f>
        <v>0</v>
      </c>
      <c r="H279" s="1315">
        <f t="shared" ca="1" si="27"/>
        <v>0</v>
      </c>
      <c r="I279" s="1873">
        <f t="shared" ca="1" si="26"/>
        <v>0</v>
      </c>
      <c r="J279" s="1313">
        <v>31</v>
      </c>
      <c r="K279" s="1316" t="str">
        <f>IF(ISBLANK(E279),"",IF(I279&lt;0.5*J279,8,E279)*I279)</f>
        <v/>
      </c>
      <c r="L279" s="1268">
        <f t="shared" ca="1" si="29"/>
        <v>0</v>
      </c>
      <c r="M279" s="1894">
        <f ca="1">(списки!C$60*N(I279)+списки!C$61*(J279-N(I279)))/J279</f>
        <v>15</v>
      </c>
      <c r="N279" s="14"/>
      <c r="O279" s="14"/>
      <c r="P279" s="1891"/>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15.1</v>
      </c>
      <c r="E280" s="1338"/>
      <c r="F280" s="1415">
        <f>IFERROR(Климатология!R2,"")</f>
        <v>0</v>
      </c>
      <c r="G280" s="1875">
        <f ca="1">IFERROR((списки!$C$56-IF(I280&lt;0.5*J280,8,E280))*I280,"")</f>
        <v>0</v>
      </c>
      <c r="H280" s="1315">
        <f t="shared" ca="1" si="27"/>
        <v>0</v>
      </c>
      <c r="I280" s="1873">
        <f t="shared" ca="1" si="26"/>
        <v>0</v>
      </c>
      <c r="J280" s="1313">
        <v>31</v>
      </c>
      <c r="K280" s="1316" t="str">
        <f t="shared" ref="K280:K284" si="31">IF(ISBLANK(E280),"",IF(I280&lt;0.5*J280,8,E280)*I280)</f>
        <v/>
      </c>
      <c r="L280" s="1268">
        <f t="shared" ca="1" si="29"/>
        <v>0</v>
      </c>
      <c r="M280" s="1894">
        <f ca="1">(списки!C$60*N(I280)+списки!C$61*(J280-N(I280)))/J280</f>
        <v>15</v>
      </c>
      <c r="N280" s="14"/>
      <c r="O280" s="14"/>
      <c r="P280" s="1891"/>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2017</v>
      </c>
      <c r="D281" s="1313">
        <f>IFERROR(Климатология!S2,"")</f>
        <v>9.5</v>
      </c>
      <c r="E281" s="1338">
        <v>5.3</v>
      </c>
      <c r="F281" s="1415">
        <f>IFERROR(Климатология!V2,"")</f>
        <v>68.25</v>
      </c>
      <c r="G281" s="1875">
        <f ca="1">IFERROR((списки!$C$56-IF(I281&lt;0.5*J281,8,E281))*I281,"")</f>
        <v>120</v>
      </c>
      <c r="H281" s="1315">
        <f t="shared" ca="1" si="27"/>
        <v>0.56874999999999998</v>
      </c>
      <c r="I281" s="1873">
        <f t="shared" ca="1" si="26"/>
        <v>10</v>
      </c>
      <c r="J281" s="1313">
        <v>30</v>
      </c>
      <c r="K281" s="1316">
        <f t="shared" ca="1" si="31"/>
        <v>80</v>
      </c>
      <c r="L281" s="1268">
        <f t="shared" ca="1" si="29"/>
        <v>0</v>
      </c>
      <c r="M281" s="1894">
        <f ca="1">(списки!C$60*N(I281)+списки!C$61*(J281-N(I281)))/J281</f>
        <v>11.666666666666666</v>
      </c>
      <c r="N281" s="14"/>
      <c r="O281" s="14"/>
      <c r="P281" s="1891"/>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2017</v>
      </c>
      <c r="D282" s="1313">
        <f>IFERROR(Климатология!W2,"")</f>
        <v>2.2999999999999998</v>
      </c>
      <c r="E282" s="1338">
        <v>2.9</v>
      </c>
      <c r="F282" s="1415">
        <f>IFERROR(Климатология!Z2,"")</f>
        <v>548.69999999999993</v>
      </c>
      <c r="G282" s="1875">
        <f ca="1">IFERROR((списки!$C$56-IF(I282&lt;0.5*J282,8,E282))*I282,"")</f>
        <v>530.1</v>
      </c>
      <c r="H282" s="1315">
        <f t="shared" ca="1" si="27"/>
        <v>1.0350877192982455</v>
      </c>
      <c r="I282" s="1873">
        <f t="shared" ca="1" si="26"/>
        <v>31</v>
      </c>
      <c r="J282" s="1313">
        <v>31</v>
      </c>
      <c r="K282" s="1316">
        <f t="shared" ca="1" si="31"/>
        <v>89.899999999999991</v>
      </c>
      <c r="L282" s="1268">
        <f t="shared" ca="1" si="29"/>
        <v>0</v>
      </c>
      <c r="M282" s="1894">
        <f ca="1">(списки!C$60*N(I282)+списки!C$61*(J282-N(I282)))/J282</f>
        <v>5</v>
      </c>
      <c r="N282" s="14"/>
      <c r="O282" s="14"/>
      <c r="P282" s="1891"/>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2017</v>
      </c>
      <c r="D283" s="1313">
        <f>IFERROR(Климатология!AA2,"")</f>
        <v>-5.6</v>
      </c>
      <c r="E283" s="1338">
        <v>-1.3</v>
      </c>
      <c r="F283" s="1416">
        <f>IFERROR(Климатология!AD2,"")</f>
        <v>768</v>
      </c>
      <c r="G283" s="1875">
        <f ca="1">IFERROR((списки!$C$56-IF(I283&lt;0.5*J283,8,E283))*I283,"")</f>
        <v>639</v>
      </c>
      <c r="H283" s="1315">
        <f t="shared" ca="1" si="27"/>
        <v>1.2018779342723005</v>
      </c>
      <c r="I283" s="1873">
        <f t="shared" ca="1" si="26"/>
        <v>30</v>
      </c>
      <c r="J283" s="1313">
        <v>30</v>
      </c>
      <c r="K283" s="1316">
        <f t="shared" ca="1" si="31"/>
        <v>-39</v>
      </c>
      <c r="L283" s="1268">
        <f t="shared" ca="1" si="29"/>
        <v>0</v>
      </c>
      <c r="M283" s="1894">
        <f ca="1">(списки!C$60*N(I283)+списки!C$61*(J283-N(I283)))/J283</f>
        <v>5</v>
      </c>
      <c r="N283" s="14"/>
      <c r="O283" s="14"/>
      <c r="P283" s="1891"/>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2017</v>
      </c>
      <c r="D284" s="1878">
        <f>IFERROR(Климатология!AE2,"")</f>
        <v>-11.3</v>
      </c>
      <c r="E284" s="1879">
        <v>7.4</v>
      </c>
      <c r="F284" s="1880">
        <f>IFERROR(Климатология!AH2,"")</f>
        <v>970.30000000000007</v>
      </c>
      <c r="G284" s="1875">
        <f ca="1">IFERROR((списки!$C$56-IF(I284&lt;0.5*J284,8,E284))*I284,"")</f>
        <v>390.59999999999997</v>
      </c>
      <c r="H284" s="1881">
        <f t="shared" ca="1" si="27"/>
        <v>2.4841269841269846</v>
      </c>
      <c r="I284" s="1873">
        <f t="shared" ca="1" si="26"/>
        <v>31</v>
      </c>
      <c r="J284" s="1878">
        <v>31</v>
      </c>
      <c r="K284" s="1882">
        <f t="shared" ca="1" si="31"/>
        <v>229.4</v>
      </c>
      <c r="L284" s="1268">
        <f t="shared" ca="1" si="29"/>
        <v>0</v>
      </c>
      <c r="M284" s="1894">
        <f ca="1">(списки!C$60*N(I284)+списки!C$61*(J284-N(I284)))/J284</f>
        <v>5</v>
      </c>
      <c r="N284" s="14"/>
      <c r="O284" s="14"/>
      <c r="P284" s="1891"/>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-5.5</v>
      </c>
      <c r="E285" s="1849">
        <f ca="1">K285</f>
        <v>-1.6793248945147679</v>
      </c>
      <c r="F285" s="1417">
        <f>IFERROR(Климатология!I2,"")</f>
        <v>5737.5</v>
      </c>
      <c r="G285" s="1418">
        <f ca="1">IF(OR(E285="",D209=0),"",(списки!$C$56-N(E285))*D209)</f>
        <v>5138</v>
      </c>
      <c r="H285" s="1318">
        <f ca="1">IFERROR(IF(G285=0,0,F285/G285),0)</f>
        <v>1.1166796418840015</v>
      </c>
      <c r="I285" s="1317"/>
      <c r="J285" s="1317"/>
      <c r="K285" s="1319">
        <f ca="1">IF(D209&lt;&gt;0,IF(COUNTIF(K273:K284,"")=12,"",SUM(K273:K284)/D209),"")</f>
        <v>-1.6793248945147679</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2093" t="s">
        <v>2405</v>
      </c>
      <c r="D287" s="2093"/>
      <c r="E287" s="2093"/>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2047" t="s">
        <v>2453</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2047"/>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2018</v>
      </c>
      <c r="D290" s="1883">
        <v>1423.28</v>
      </c>
      <c r="E290" s="1883">
        <v>3.4</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2018</v>
      </c>
      <c r="D291" s="1883">
        <v>1423.28</v>
      </c>
      <c r="E291" s="1883">
        <v>3.4</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2018</v>
      </c>
      <c r="D292" s="1883">
        <v>1423.28</v>
      </c>
      <c r="E292" s="1883">
        <v>3.4</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2018</v>
      </c>
      <c r="D293" s="1883">
        <v>1423.28</v>
      </c>
      <c r="E293" s="1883">
        <v>3.4</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83">
        <v>1423.28</v>
      </c>
      <c r="E294" s="1883">
        <v>3.4</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83">
        <v>1423.28</v>
      </c>
      <c r="E295" s="1883">
        <v>3.4</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83">
        <v>1423.28</v>
      </c>
      <c r="E296" s="1883">
        <v>3.4</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83">
        <v>1423.28</v>
      </c>
      <c r="E297" s="1883">
        <v>3.4</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2017</v>
      </c>
      <c r="D298" s="1883">
        <v>1423.28</v>
      </c>
      <c r="E298" s="1883">
        <v>3.4</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2017</v>
      </c>
      <c r="D299" s="1883">
        <v>1423.28</v>
      </c>
      <c r="E299" s="1883">
        <v>3.4</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2017</v>
      </c>
      <c r="D300" s="1883">
        <v>1423.28</v>
      </c>
      <c r="E300" s="1883">
        <v>3.4</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2017</v>
      </c>
      <c r="D301" s="1883">
        <v>1423.28</v>
      </c>
      <c r="E301" s="1883">
        <v>3.4</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2462</v>
      </c>
      <c r="D302" s="1850">
        <f>IFERROR(ROUND(SUMPRODUCT(D290:D301,D217:D228)/(IF(D290&gt;0,D217,0)+IF(D291&gt;0,D218,0)+IF(D292&gt;0,D219,0)+IF(D293&gt;0,D220,0)+IF(D294&gt;0,D221,0)+IF(D295&gt;0,D222,0)+IF(D296&gt;0,D223,0)+IF(D297&gt;0,D224,0)+IF(D298&gt;0,D225,0)+IF(D299&gt;0,D226,0)+IF(D300&gt;0,D227,0)+IF(D301&gt;0,D228,0)),2),"-")</f>
        <v>1423.28</v>
      </c>
      <c r="E302" s="1850">
        <f>IFERROR(ROUND(SUMPRODUCT(E290:E301,F253:F264)/(IF(E290&gt;0,F253,0)+IF(E291&gt;0,F254,0)+IF(E292&gt;0,F255,0)+IF(E293&gt;0,F256,0)+IF(E294&gt;0,F257,0)+IF(E295&gt;0,F258,0)+IF(E296&gt;0,F259,0)+IF(E297&gt;0,F260,0)+IF(E298&gt;0,F261,0)+IF(E299&gt;0,F262,0)+IF(E300&gt;0,F263,0)+IF(E301&gt;0,F264,0)),2),"-")</f>
        <v>3.4</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60"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61"/>
      <c r="E304" s="1785"/>
      <c r="F304" s="1848">
        <f>IFERROR(ROUND(SUMPRODUCT(D290:D301,D217:D228)/(IF(D290&gt;0,D217,0)+IF(D291&gt;0,D218,0)+IF(D292&gt;0,D219,0)+IF(D293&gt;0,D220,0)+IF(D294&gt;0,D221,0)+IF(D295&gt;0,D222,0)+IF(D296&gt;0,D223,0)+IF(D297&gt;0,D224,0)+IF(D298&gt;0,D225,0)+IF(D299&gt;0,D226,0)+IF(D300&gt;0,D227,0)+IF(D301&gt;0,D228,0)),2),"-")</f>
        <v>1423.28</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61"/>
      <c r="E305" s="1785"/>
      <c r="F305" s="1848">
        <f>IFERROR(ROUND(SUMPRODUCT(E290:E301,F253:F264)/(IF(E290&gt;0,F253,0)+IF(E291&gt;0,F254,0)+IF(E292&gt;0,F255,0)+IF(E293&gt;0,F256,0)+IF(E294&gt;0,F257,0)+IF(E295&gt;0,F258,0)+IF(E296&gt;0,F259,0)+IF(E297&gt;0,F260,0)+IF(E298&gt;0,F261,0)+IF(E299&gt;0,F262,0)+IF(E300&gt;0,F263,0)+IF(E301&gt;0,F264,0)),2),"-")</f>
        <v>3.4</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46" t="s">
        <v>1559</v>
      </c>
      <c r="D307" s="2046"/>
      <c r="E307" s="2046"/>
      <c r="F307" s="2046"/>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2089"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2089"/>
      <c r="E324" s="2089"/>
      <c r="F324" s="2089"/>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49"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49"/>
      <c r="E325" s="2049"/>
      <c r="F325" s="2049"/>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50" t="str">
        <f ca="1">IF(AND(E323="Ошибок нет",C325=""),"ГОТОВО!   Переходите на лист "&amp;CHAR(34)&amp;"Список мероприятий"&amp;CHAR(34),"")</f>
        <v>ГОТОВО!   Переходите на лист "Список мероприятий"</v>
      </c>
      <c r="D326" s="2050"/>
      <c r="E326" s="2050"/>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1974"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796,1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1975"/>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1975"/>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1975"/>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1975"/>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1975"/>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1975"/>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1975"/>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1975"/>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1976"/>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37"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v>
      </c>
      <c r="D338" s="2037"/>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1978" t="s">
        <v>1977</v>
      </c>
      <c r="D339" s="1978"/>
      <c r="E339" s="1978"/>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I151:L151"/>
    <mergeCell ref="I152:L152"/>
    <mergeCell ref="E126:E132"/>
    <mergeCell ref="C125:E125"/>
    <mergeCell ref="C133:E133"/>
    <mergeCell ref="C107:E107"/>
    <mergeCell ref="C123:E123"/>
    <mergeCell ref="C117:E117"/>
    <mergeCell ref="F126:F132"/>
    <mergeCell ref="C147:E147"/>
    <mergeCell ref="H150:L150"/>
    <mergeCell ref="E135:F135"/>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s>
  <conditionalFormatting sqref="D16">
    <cfRule type="expression" dxfId="229" priority="103">
      <formula>$D$15&lt;&gt;"выберите ниже"</formula>
    </cfRule>
  </conditionalFormatting>
  <conditionalFormatting sqref="E323">
    <cfRule type="expression" dxfId="228" priority="102">
      <formula>$E$323="Исправьте ошибки ввода"</formula>
    </cfRule>
  </conditionalFormatting>
  <conditionalFormatting sqref="E151:E156">
    <cfRule type="containsBlanks" dxfId="227" priority="97">
      <formula>LEN(TRIM(E151))=0</formula>
    </cfRule>
  </conditionalFormatting>
  <conditionalFormatting sqref="G151:G156">
    <cfRule type="containsBlanks" dxfId="226" priority="96">
      <formula>LEN(TRIM(G151))=0</formula>
    </cfRule>
  </conditionalFormatting>
  <conditionalFormatting sqref="D14 D16">
    <cfRule type="containsBlanks" dxfId="225" priority="94">
      <formula>LEN(TRIM(D14))=0</formula>
    </cfRule>
  </conditionalFormatting>
  <conditionalFormatting sqref="E54">
    <cfRule type="expression" dxfId="224"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3"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2" priority="88">
      <formula>LEN(TRIM(D10))=0</formula>
    </cfRule>
  </conditionalFormatting>
  <conditionalFormatting sqref="D55:D61 D63:D77">
    <cfRule type="expression" dxfId="221" priority="66">
      <formula>OR($D$42="Ориентировочный",$D$42=INDEX(SposobRascheta,3))</formula>
    </cfRule>
  </conditionalFormatting>
  <conditionalFormatting sqref="D52">
    <cfRule type="cellIs" dxfId="220" priority="64" operator="equal">
      <formula>"Введено верно"</formula>
    </cfRule>
  </conditionalFormatting>
  <conditionalFormatting sqref="D45:D48 C49:C50 C51:E51">
    <cfRule type="expression" dxfId="219" priority="65">
      <formula>AND($D$42="Ориентировочный",$D$42=INDEX(SposobRascheta,3))</formula>
    </cfRule>
    <cfRule type="expression" dxfId="218" priority="67">
      <formula>$D$42="Детальный"</formula>
    </cfRule>
  </conditionalFormatting>
  <conditionalFormatting sqref="C217 C273">
    <cfRule type="expression" dxfId="217" priority="60">
      <formula>AND($I$273&lt;&gt;"",$I$273&gt;0)</formula>
    </cfRule>
  </conditionalFormatting>
  <conditionalFormatting sqref="C218 C274">
    <cfRule type="expression" dxfId="216" priority="59">
      <formula>AND($I$274&lt;&gt;"",$I$274&gt;0)</formula>
    </cfRule>
  </conditionalFormatting>
  <conditionalFormatting sqref="C219 C275">
    <cfRule type="expression" dxfId="215" priority="57">
      <formula>AND($I$275&lt;&gt;"",$I$275&gt;0)</formula>
    </cfRule>
  </conditionalFormatting>
  <conditionalFormatting sqref="C220 C276">
    <cfRule type="expression" dxfId="214" priority="56">
      <formula>AND($I$276&lt;&gt;"",$I$276&gt;0)</formula>
    </cfRule>
  </conditionalFormatting>
  <conditionalFormatting sqref="C221 C277">
    <cfRule type="expression" dxfId="213" priority="55">
      <formula>AND($I$277&lt;&gt;"",$I$277&gt;0)</formula>
    </cfRule>
  </conditionalFormatting>
  <conditionalFormatting sqref="C222 C278">
    <cfRule type="expression" dxfId="212" priority="54">
      <formula>AND($I$278&lt;&gt;"",$I$278&gt;0)</formula>
    </cfRule>
  </conditionalFormatting>
  <conditionalFormatting sqref="C223 C279">
    <cfRule type="expression" dxfId="211" priority="53">
      <formula>AND($I$279&lt;&gt;"",$I$279&gt;0)</formula>
    </cfRule>
  </conditionalFormatting>
  <conditionalFormatting sqref="C225 C281">
    <cfRule type="expression" dxfId="210" priority="51">
      <formula>AND($I$281&lt;&gt;"",$I$281&gt;0)</formula>
    </cfRule>
  </conditionalFormatting>
  <conditionalFormatting sqref="C224 C280">
    <cfRule type="expression" dxfId="209" priority="52">
      <formula>AND($I$280&lt;&gt;"",$I$280&gt;0)</formula>
    </cfRule>
  </conditionalFormatting>
  <conditionalFormatting sqref="C226 C282">
    <cfRule type="expression" dxfId="208" priority="50">
      <formula>AND($I$282&lt;&gt;"",$I$282&gt;0)</formula>
    </cfRule>
  </conditionalFormatting>
  <conditionalFormatting sqref="C227 C283">
    <cfRule type="expression" dxfId="207" priority="49">
      <formula>AND($I$283&lt;&gt;"",$I$283&gt;0)</formula>
    </cfRule>
  </conditionalFormatting>
  <conditionalFormatting sqref="C228 C284">
    <cfRule type="expression" dxfId="206" priority="48">
      <formula>AND($I$284&lt;&gt;"",$I$284&gt;0)</formula>
    </cfRule>
  </conditionalFormatting>
  <conditionalFormatting sqref="I217:I229">
    <cfRule type="cellIs" dxfId="205" priority="47" operator="notBetween">
      <formula>10</formula>
      <formula>0.001</formula>
    </cfRule>
  </conditionalFormatting>
  <conditionalFormatting sqref="C118">
    <cfRule type="containsBlanks" dxfId="204" priority="46">
      <formula>LEN(TRIM(C118))=0</formula>
    </cfRule>
  </conditionalFormatting>
  <conditionalFormatting sqref="E273">
    <cfRule type="expression" dxfId="203" priority="40">
      <formula>IFERROR($I$273,0)=0</formula>
    </cfRule>
  </conditionalFormatting>
  <conditionalFormatting sqref="E274">
    <cfRule type="expression" dxfId="202" priority="39">
      <formula>IFERROR($I$274,0)=0</formula>
    </cfRule>
  </conditionalFormatting>
  <conditionalFormatting sqref="E275">
    <cfRule type="expression" dxfId="201" priority="38">
      <formula>IFERROR($I$275,0)=0</formula>
    </cfRule>
  </conditionalFormatting>
  <conditionalFormatting sqref="E276">
    <cfRule type="expression" dxfId="200" priority="37">
      <formula>IFERROR($I$276,0)=0</formula>
    </cfRule>
  </conditionalFormatting>
  <conditionalFormatting sqref="E277">
    <cfRule type="expression" dxfId="199" priority="36">
      <formula>IFERROR($I$277,0)=0</formula>
    </cfRule>
  </conditionalFormatting>
  <conditionalFormatting sqref="E278">
    <cfRule type="expression" dxfId="198" priority="35">
      <formula>IFERROR($I$278,0)=0</formula>
    </cfRule>
  </conditionalFormatting>
  <conditionalFormatting sqref="E279">
    <cfRule type="expression" dxfId="197" priority="34">
      <formula>IFERROR($I$279,0)=0</formula>
    </cfRule>
  </conditionalFormatting>
  <conditionalFormatting sqref="E280">
    <cfRule type="expression" dxfId="196" priority="33">
      <formula>IFERROR($I$280,0)=0</formula>
    </cfRule>
  </conditionalFormatting>
  <conditionalFormatting sqref="E281">
    <cfRule type="expression" dxfId="195" priority="32">
      <formula>IFERROR($I$281,0)=0</formula>
    </cfRule>
  </conditionalFormatting>
  <conditionalFormatting sqref="E282">
    <cfRule type="expression" dxfId="194" priority="31">
      <formula>IFERROR($I$282,0)=0</formula>
    </cfRule>
  </conditionalFormatting>
  <conditionalFormatting sqref="E283">
    <cfRule type="expression" dxfId="193" priority="30">
      <formula>IFERROR($I$283,0)=0</formula>
    </cfRule>
  </conditionalFormatting>
  <conditionalFormatting sqref="E284">
    <cfRule type="expression" dxfId="192" priority="29">
      <formula>IFERROR($I$284,0)=0</formula>
    </cfRule>
  </conditionalFormatting>
  <conditionalFormatting sqref="D208">
    <cfRule type="expression" dxfId="191" priority="28">
      <formula>AND(NOT(MATCH(D202,Months12ext,0)=1),NOT(MATCH(D202,Months12ext,0)&gt;7))</formula>
    </cfRule>
  </conditionalFormatting>
  <conditionalFormatting sqref="E206">
    <cfRule type="expression" dxfId="190" priority="27">
      <formula>MATCH(D202,Months12ext,0)&gt;7</formula>
    </cfRule>
  </conditionalFormatting>
  <conditionalFormatting sqref="G235:K248 G217:H228">
    <cfRule type="containsText" dxfId="189" priority="20" operator="containsText" text="*">
      <formula>NOT(ISERROR(SEARCH("*",G217)))</formula>
    </cfRule>
  </conditionalFormatting>
  <conditionalFormatting sqref="E236:E247">
    <cfRule type="expression" dxfId="188" priority="299">
      <formula>AND($G$142&gt;0,$G$142&lt;&gt;"")</formula>
    </cfRule>
  </conditionalFormatting>
  <conditionalFormatting sqref="I221">
    <cfRule type="expression" dxfId="187" priority="13">
      <formula>AND($I$277=0,$J$221=0)</formula>
    </cfRule>
  </conditionalFormatting>
  <conditionalFormatting sqref="I222">
    <cfRule type="expression" dxfId="186" priority="12">
      <formula>AND($I$278=0,$J$222=0)</formula>
    </cfRule>
  </conditionalFormatting>
  <conditionalFormatting sqref="I223">
    <cfRule type="expression" dxfId="185" priority="11">
      <formula>AND($I$279=0,$J$223=0)</formula>
    </cfRule>
  </conditionalFormatting>
  <conditionalFormatting sqref="I220">
    <cfRule type="expression" dxfId="184" priority="10">
      <formula>AND($I$276=0,$J$220=0)</formula>
    </cfRule>
  </conditionalFormatting>
  <conditionalFormatting sqref="I219">
    <cfRule type="expression" dxfId="183" priority="9">
      <formula>AND($I$275=0,$J$219=0)</formula>
    </cfRule>
  </conditionalFormatting>
  <conditionalFormatting sqref="I218">
    <cfRule type="expression" dxfId="182" priority="8">
      <formula>AND($I$274=0,$J$218=0)</formula>
    </cfRule>
  </conditionalFormatting>
  <conditionalFormatting sqref="I217">
    <cfRule type="expression" dxfId="181" priority="7">
      <formula>AND($I$273=0,$J$217=0)</formula>
    </cfRule>
  </conditionalFormatting>
  <conditionalFormatting sqref="I224">
    <cfRule type="expression" dxfId="180" priority="6">
      <formula>AND($I$280=0,$J$224=0)</formula>
    </cfRule>
  </conditionalFormatting>
  <conditionalFormatting sqref="I225">
    <cfRule type="expression" dxfId="179" priority="5">
      <formula>AND($I$281=0,$J$225=0)</formula>
    </cfRule>
  </conditionalFormatting>
  <conditionalFormatting sqref="I226">
    <cfRule type="expression" dxfId="178" priority="4">
      <formula>AND($I$282=0,$J$226=0)</formula>
    </cfRule>
  </conditionalFormatting>
  <conditionalFormatting sqref="I227">
    <cfRule type="expression" dxfId="177" priority="3">
      <formula>AND($I$283=0,$J$227=0)</formula>
    </cfRule>
  </conditionalFormatting>
  <conditionalFormatting sqref="I228">
    <cfRule type="expression" dxfId="176" priority="2">
      <formula>AND($I$284=0,$J$228=0)</formula>
    </cfRule>
  </conditionalFormatting>
  <conditionalFormatting sqref="I229">
    <cfRule type="expression" dxfId="175" priority="1">
      <formula>AND($I$285=0,$J$229=0)</formula>
    </cfRule>
  </conditionalFormatting>
  <dataValidations count="77">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87" activePane="bottomLeft" state="frozen"/>
      <selection pane="bottomLeft" activeCell="G36" sqref="G36"/>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8705.1</v>
      </c>
      <c r="B1" s="2161" t="s">
        <v>2500</v>
      </c>
      <c r="C1" s="2161"/>
      <c r="D1" s="2161"/>
      <c r="E1" s="1708" t="str">
        <f ca="1">IFERROR(IF('Экономический расчет'!H33="","","Прогноз показателя экономии: "&amp;ROUND('Экономический расчет'!H33*100,2)&amp;"%."),"")</f>
        <v>Прогноз показателя экономии: 10,21%.</v>
      </c>
      <c r="F1" s="2110" t="s">
        <v>1570</v>
      </c>
      <c r="G1" s="2110"/>
      <c r="H1" s="2110"/>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37" t="s">
        <v>1416</v>
      </c>
      <c r="D2" s="2137"/>
      <c r="E2" s="1144" t="s">
        <v>1238</v>
      </c>
      <c r="F2" s="1272" t="s">
        <v>1688</v>
      </c>
      <c r="G2" s="1273" t="s">
        <v>1689</v>
      </c>
      <c r="H2" s="1274" t="s">
        <v>1328</v>
      </c>
      <c r="I2" s="1274" t="s">
        <v>1326</v>
      </c>
      <c r="J2" s="1274" t="s">
        <v>1738</v>
      </c>
      <c r="K2" s="1274" t="s">
        <v>1327</v>
      </c>
      <c r="L2" s="1144" t="s">
        <v>1239</v>
      </c>
      <c r="M2" s="50"/>
      <c r="N2" s="50"/>
      <c r="O2" s="2142" t="s">
        <v>1454</v>
      </c>
      <c r="P2" s="2143"/>
      <c r="Q2" s="2144"/>
      <c r="R2" s="2136" t="s">
        <v>1426</v>
      </c>
      <c r="S2" s="2136"/>
      <c r="T2" s="2136" t="s">
        <v>1427</v>
      </c>
      <c r="U2" s="2136"/>
      <c r="V2" s="2141" t="s">
        <v>1428</v>
      </c>
      <c r="W2" s="2141"/>
      <c r="X2" s="2136" t="s">
        <v>1433</v>
      </c>
      <c r="Y2" s="2136"/>
      <c r="Z2" s="50" t="s">
        <v>1436</v>
      </c>
      <c r="AA2" s="1145" t="s">
        <v>888</v>
      </c>
      <c r="AB2" s="2125" t="s">
        <v>890</v>
      </c>
      <c r="AC2" s="2125"/>
      <c r="AD2" s="1146" t="s">
        <v>889</v>
      </c>
      <c r="AF2" s="50"/>
      <c r="AG2" s="50"/>
      <c r="AH2" s="50"/>
      <c r="AI2" s="50"/>
      <c r="AJ2" s="50"/>
      <c r="AK2" s="50"/>
      <c r="AL2" s="50"/>
      <c r="AM2" s="50"/>
      <c r="AN2" s="50"/>
      <c r="AO2" s="50"/>
      <c r="AP2" s="50"/>
      <c r="AQ2" s="50"/>
      <c r="AR2" s="50"/>
      <c r="AS2" s="50"/>
    </row>
    <row r="3" spans="1:57" ht="20.25" customHeight="1" x14ac:dyDescent="0.25">
      <c r="A3" s="50"/>
      <c r="B3" s="50"/>
      <c r="C3" s="50"/>
      <c r="D3" s="2145" t="s">
        <v>1451</v>
      </c>
      <c r="E3" s="2145"/>
      <c r="F3" s="2145"/>
      <c r="G3" s="2145"/>
      <c r="H3" s="2145"/>
      <c r="I3" s="2145"/>
      <c r="J3" s="2145"/>
      <c r="K3" s="2145"/>
      <c r="L3" s="2145"/>
      <c r="M3" s="50"/>
      <c r="N3" s="50"/>
      <c r="O3" s="2138" t="s">
        <v>1453</v>
      </c>
      <c r="P3" s="2139"/>
      <c r="Q3" s="2140"/>
      <c r="R3" s="2136" t="s">
        <v>1426</v>
      </c>
      <c r="S3" s="2136"/>
      <c r="T3" s="2136" t="s">
        <v>1427</v>
      </c>
      <c r="U3" s="2136"/>
      <c r="V3" s="2141" t="s">
        <v>1428</v>
      </c>
      <c r="W3" s="2141"/>
      <c r="X3" s="2136" t="s">
        <v>1433</v>
      </c>
      <c r="Y3" s="2136"/>
      <c r="Z3" s="50"/>
      <c r="AA3" s="50"/>
      <c r="AB3" s="1133"/>
      <c r="AC3" s="1133"/>
      <c r="AD3" s="50"/>
      <c r="AE3" s="50"/>
      <c r="AF3" s="50"/>
      <c r="AG3" s="50"/>
      <c r="AH3" s="50"/>
      <c r="AI3" s="50"/>
      <c r="AJ3" s="50"/>
      <c r="AK3" s="50"/>
      <c r="AL3" s="50"/>
      <c r="AM3" s="50"/>
      <c r="AN3" s="50"/>
      <c r="AO3" s="50"/>
      <c r="AP3" s="50"/>
      <c r="AQ3" s="50"/>
      <c r="AR3" s="50"/>
      <c r="AS3" s="50"/>
      <c r="AV3" s="2160" t="s">
        <v>2387</v>
      </c>
      <c r="AW3" s="2160"/>
      <c r="AX3" s="2160"/>
      <c r="AY3" s="2160"/>
      <c r="AZ3" s="2160"/>
      <c r="BA3" s="2160"/>
      <c r="BB3" s="2160"/>
    </row>
    <row r="4" spans="1:57" ht="128.25" customHeight="1" x14ac:dyDescent="0.25">
      <c r="A4" s="50"/>
      <c r="B4" s="50"/>
      <c r="C4" s="2171"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17%!</v>
      </c>
      <c r="D4" s="2171"/>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71" t="str">
        <f>'Ввод исходных данных'!G236</f>
        <v>Средний на человека расход воды в сутки ниже норматива по СП 30.13330 «СНиП 2.04.01.85*» на -52%!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G4" s="2171"/>
      <c r="H4" s="2171"/>
      <c r="I4" s="2171"/>
      <c r="J4" s="2171"/>
      <c r="K4" s="2171"/>
      <c r="L4" s="1148" t="str">
        <f>'Ввод исходных данных'!I236</f>
        <v>Вероятен перегрев горячей воды!
Стоит обратить внимание на мероприятия:
1 - Установка регуляторов температуры горячей воды;
2 - Модернизация ИТП с установкой теплообменника ГВС;
3 - Установка АИТП.</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2369</v>
      </c>
      <c r="AY4" s="51" t="s">
        <v>2368</v>
      </c>
      <c r="AZ4" s="51" t="s">
        <v>2370</v>
      </c>
      <c r="BA4" s="51" t="s">
        <v>2371</v>
      </c>
      <c r="BB4" s="51" t="s">
        <v>2372</v>
      </c>
    </row>
    <row r="5" spans="1:57" ht="21" customHeight="1" x14ac:dyDescent="0.25">
      <c r="A5" s="50"/>
      <c r="B5" s="50"/>
      <c r="C5" s="50"/>
      <c r="D5" s="2145" t="s">
        <v>1452</v>
      </c>
      <c r="E5" s="2145"/>
      <c r="F5" s="2145"/>
      <c r="G5" s="2145"/>
      <c r="H5" s="2145"/>
      <c r="I5" s="2145"/>
      <c r="J5" s="2145"/>
      <c r="K5" s="2145"/>
      <c r="L5" s="2145"/>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0.14734164971002456</v>
      </c>
      <c r="T6" s="1156"/>
      <c r="U6" s="1157">
        <f>U7+U33+U38</f>
        <v>0</v>
      </c>
      <c r="V6" s="1156"/>
      <c r="W6" s="1158">
        <f ca="1">W7+W33+W38+W20+W56+W62+W73</f>
        <v>9.7884006889397482E-2</v>
      </c>
      <c r="X6" s="1158"/>
      <c r="Y6" s="1158">
        <f ca="1">Y56+Y73+Y33</f>
        <v>-9.8726389534680478E-2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SUM(O9,O12,O13,O14,O16)</f>
        <v>0</v>
      </c>
      <c r="P7" s="1160"/>
      <c r="Q7" s="1160"/>
      <c r="R7" s="1161">
        <f>O7/'Расчет базового уровня'!$D$35*1163</f>
        <v>0</v>
      </c>
      <c r="S7" s="1162">
        <f>R7</f>
        <v>0</v>
      </c>
      <c r="T7" s="1163"/>
      <c r="U7" s="1163"/>
      <c r="V7" s="1161">
        <f>(O7+P7)/'Расчет базового уровня'!$D$9*1163</f>
        <v>0</v>
      </c>
      <c r="W7" s="1164">
        <f>(S7*'Расчет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натриевые газоразрядные лампы (ДНаТ)</v>
      </c>
      <c r="BE7" s="1694" t="s">
        <v>746</v>
      </c>
    </row>
    <row r="8" spans="1:57" ht="17.25" customHeight="1" x14ac:dyDescent="0.25">
      <c r="A8" s="1166" t="str">
        <f>IF(OR(AND(AA8=0,AB8=1),AND(AA8=1,AB8=0)),"Ошибка","")</f>
        <v/>
      </c>
      <c r="B8" s="50"/>
      <c r="C8" s="1167"/>
      <c r="D8" s="1168" t="s">
        <v>1267</v>
      </c>
      <c r="E8" s="2099" t="s">
        <v>1693</v>
      </c>
      <c r="F8" s="1276" t="s">
        <v>1690</v>
      </c>
      <c r="G8" s="1276" t="s">
        <v>1284</v>
      </c>
      <c r="H8" s="1276" t="s">
        <v>1283</v>
      </c>
      <c r="I8" s="1276" t="s">
        <v>1283</v>
      </c>
      <c r="J8" s="1276" t="s">
        <v>1283</v>
      </c>
      <c r="K8" s="1276" t="s">
        <v>1283</v>
      </c>
      <c r="L8" s="2127"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33"/>
      <c r="F9" s="2163">
        <f>'Расчет базового уровня'!B136</f>
        <v>5294.8379999999997</v>
      </c>
      <c r="G9" s="2113"/>
      <c r="H9" s="2116">
        <f>I9+J9+K9</f>
        <v>0</v>
      </c>
      <c r="I9" s="2115"/>
      <c r="J9" s="2115">
        <f>IF(AB15=1,G9*F9,0)</f>
        <v>0</v>
      </c>
      <c r="K9" s="2115"/>
      <c r="L9" s="2128"/>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2373</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33"/>
      <c r="F10" s="2164"/>
      <c r="G10" s="2166"/>
      <c r="H10" s="2116"/>
      <c r="I10" s="2115"/>
      <c r="J10" s="2115"/>
      <c r="K10" s="2115"/>
      <c r="L10" s="2128"/>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0</v>
      </c>
      <c r="AW10" s="69" t="str">
        <f>IF(AV10,COUNTIF(AV$5:AV10,TRUE),"")</f>
        <v/>
      </c>
      <c r="AX10" s="69" t="str">
        <f>IF(AV10,COUNTIF(AV$8:AV10,TRUE),"")</f>
        <v/>
      </c>
      <c r="AY10" s="240" t="s">
        <v>1749</v>
      </c>
      <c r="AZ10" s="1501" t="str">
        <f t="shared" si="0"/>
        <v>-</v>
      </c>
      <c r="BA10" s="1501" t="str">
        <f>IF(OR(BE10=INDEX(materials,        1),
                           BE10=INDEX(layer,                 1),
                           BE10=INDEX(layer15,            1),
                           BE10=INDEX(Windows,        1),
                           BE10=INDEX(AptWindow,   1),
                           BE10=INDEX(AtticMat,          1),
                           BE10=INDEX(AITPIAUU,        1),
                           BE10=INDEX(AUU,                   1),
                           BE10=INDEX(CellarMat,        1),
                           BE10=INDEX(LampsNew,     1),
                           BE10=INDEX(ОсвНар,            1)),
               "-",
               BE10)</f>
        <v>-</v>
      </c>
      <c r="BB10" s="1700">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1250</v>
      </c>
      <c r="E11" s="2133"/>
      <c r="F11" s="2165"/>
      <c r="G11" s="2114"/>
      <c r="H11" s="2116"/>
      <c r="I11" s="2115"/>
      <c r="J11" s="2115"/>
      <c r="K11" s="2115"/>
      <c r="L11" s="2129"/>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0"/>
      <c r="F12" s="1238">
        <f>F9</f>
        <v>5294.8379999999997</v>
      </c>
      <c r="G12" s="1237"/>
      <c r="H12" s="1239">
        <f>I12+J12+K12</f>
        <v>0</v>
      </c>
      <c r="I12" s="1237"/>
      <c r="J12" s="1297">
        <f>IF(AB12=1,G12*F12,0)</f>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0</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2374</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f>'Ввод исходных данных'!I63</f>
        <v>0</v>
      </c>
      <c r="G13" s="1369"/>
      <c r="H13" s="1368">
        <f>I13+J13+K13</f>
        <v>0</v>
      </c>
      <c r="I13" s="1369"/>
      <c r="J13" s="1369">
        <f>IF(AB13=1,G13*F13,0)</f>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099" t="s">
        <v>1691</v>
      </c>
      <c r="F14" s="1276" t="s">
        <v>1285</v>
      </c>
      <c r="G14" s="1276" t="s">
        <v>1284</v>
      </c>
      <c r="H14" s="1276" t="s">
        <v>1283</v>
      </c>
      <c r="I14" s="1276" t="s">
        <v>1283</v>
      </c>
      <c r="J14" s="1276" t="s">
        <v>1283</v>
      </c>
      <c r="K14" s="1276" t="s">
        <v>1283</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O14/'Расчет базового уровня'!$D$35*1163</f>
        <v>0</v>
      </c>
      <c r="S14" s="1172">
        <f>R14</f>
        <v>0</v>
      </c>
      <c r="T14" s="1151"/>
      <c r="U14" s="1151"/>
      <c r="V14" s="1173">
        <f>(O14+P14)/'Расчет базового уровня'!$D$9*1163</f>
        <v>0</v>
      </c>
      <c r="W14" s="1173">
        <f>(S14*'Расчет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1</v>
      </c>
      <c r="AX14" s="69">
        <f>IF(AV14,COUNTIF(AV$8:AV14,TRUE),"")</f>
        <v>1</v>
      </c>
      <c r="AY14" s="240" t="s">
        <v>2380</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282216</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1253</v>
      </c>
      <c r="E15" s="2100"/>
      <c r="F15" s="1237">
        <f>'Ввод исходных данных'!G66-'Ввод исходных данных'!D34</f>
        <v>0</v>
      </c>
      <c r="G15" s="1237"/>
      <c r="H15" s="1239">
        <f>I15+J15+K15</f>
        <v>0</v>
      </c>
      <c r="I15" s="1237"/>
      <c r="J15" s="1297">
        <f>IF(AB15=1,G15*F15,0)</f>
        <v>0</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2381</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099"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0"/>
      <c r="F17" s="1343">
        <f>'Ввод исходных данных'!D63-'Ввод исходных данных'!D33</f>
        <v>486</v>
      </c>
      <c r="G17" s="1342"/>
      <c r="H17" s="1933">
        <f>I17+J17+K17</f>
        <v>0</v>
      </c>
      <c r="I17" s="1342"/>
      <c r="J17" s="1342">
        <f>IF(AB17=1,G17*F17,0)</f>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0</v>
      </c>
      <c r="AW17" s="69" t="str">
        <f>IF(AV17,COUNTIF(AV$5:AV17,TRUE),"")</f>
        <v/>
      </c>
      <c r="AX17" s="69" t="str">
        <f>IF(AV17,COUNTIF(AV$8:AV17,TRUE),"")</f>
        <v/>
      </c>
      <c r="AY17" s="240" t="s">
        <v>2375</v>
      </c>
      <c r="AZ17" s="1501" t="str">
        <f t="shared" si="0"/>
        <v>-</v>
      </c>
      <c r="BA17" s="1501" t="str">
        <f t="shared" si="1"/>
        <v>-</v>
      </c>
      <c r="BB17" s="1701">
        <f>H39</f>
        <v>0</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0</v>
      </c>
      <c r="AW18" s="69" t="str">
        <f>IF(AV18,COUNTIF(AV$5:AV18,TRUE),"")</f>
        <v/>
      </c>
      <c r="AX18" s="69" t="str">
        <f>IF(AV18,COUNTIF(AV$8:AV18,TRUE),"")</f>
        <v/>
      </c>
      <c r="AY18" s="240" t="s">
        <v>2376</v>
      </c>
      <c r="AZ18" s="1501" t="str">
        <f t="shared" si="0"/>
        <v>-</v>
      </c>
      <c r="BA18" s="1501" t="str">
        <f t="shared" si="1"/>
        <v>-</v>
      </c>
      <c r="BB18" s="1701">
        <f>H40</f>
        <v>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(O20+P20)/'Расчет базового уровня'!$D$9*1163</f>
        <v>0</v>
      </c>
      <c r="W20" s="1164">
        <f>(S20*'Расчет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2377</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099" t="s">
        <v>1692</v>
      </c>
      <c r="F21" s="1276" t="s">
        <v>1690</v>
      </c>
      <c r="G21" s="1276" t="s">
        <v>1284</v>
      </c>
      <c r="H21" s="1276" t="s">
        <v>1283</v>
      </c>
      <c r="I21" s="1276" t="s">
        <v>1283</v>
      </c>
      <c r="J21" s="1276" t="s">
        <v>1283</v>
      </c>
      <c r="K21" s="1276" t="s">
        <v>1283</v>
      </c>
      <c r="L21" s="2146"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2378</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33"/>
      <c r="F22" s="2126">
        <f>'Расчет базового уровня'!B140</f>
        <v>0</v>
      </c>
      <c r="G22" s="2115"/>
      <c r="H22" s="2116">
        <f>I22+J22+K22</f>
        <v>0</v>
      </c>
      <c r="I22" s="2115"/>
      <c r="J22" s="2115">
        <f>IF(AB22=1,G22*F22,0)</f>
        <v>0</v>
      </c>
      <c r="K22" s="2115"/>
      <c r="L22" s="2147"/>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(O22+P22)/'Расчет базового уровня'!$D$9*1163</f>
        <v>0</v>
      </c>
      <c r="W22" s="1177">
        <f>(S22*'Расчет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0</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2379</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33"/>
      <c r="F23" s="2115"/>
      <c r="G23" s="2115"/>
      <c r="H23" s="2116"/>
      <c r="I23" s="2115"/>
      <c r="J23" s="2115"/>
      <c r="K23" s="2115"/>
      <c r="L23" s="2147"/>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2382</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0"/>
      <c r="F24" s="2115"/>
      <c r="G24" s="2115"/>
      <c r="H24" s="2116"/>
      <c r="I24" s="2115"/>
      <c r="J24" s="2115"/>
      <c r="K24" s="2115"/>
      <c r="L24" s="2148"/>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2383</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2384</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f>I26+J26+K26</f>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099" t="s">
        <v>1694</v>
      </c>
      <c r="F28" s="1276" t="s">
        <v>1690</v>
      </c>
      <c r="G28" s="1276" t="s">
        <v>1284</v>
      </c>
      <c r="H28" s="1276" t="s">
        <v>1283</v>
      </c>
      <c r="I28" s="1276" t="s">
        <v>1283</v>
      </c>
      <c r="J28" s="1276" t="s">
        <v>1283</v>
      </c>
      <c r="K28" s="1276" t="s">
        <v>1283</v>
      </c>
      <c r="L28" s="2127"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33"/>
      <c r="F29" s="2126">
        <f>'Расчет базового уровня'!B141+'Расчет базового уровня'!B142</f>
        <v>1246.7</v>
      </c>
      <c r="G29" s="2126"/>
      <c r="H29" s="2116">
        <f>I29+J29+K29</f>
        <v>0</v>
      </c>
      <c r="I29" s="2115"/>
      <c r="J29" s="2115">
        <f>IF(AB29=1,G29*F29,0)</f>
        <v>0</v>
      </c>
      <c r="K29" s="2115"/>
      <c r="L29" s="2128"/>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1</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2385</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33"/>
      <c r="F30" s="2115"/>
      <c r="G30" s="2115"/>
      <c r="H30" s="2116"/>
      <c r="I30" s="2115"/>
      <c r="J30" s="2115"/>
      <c r="K30" s="2115"/>
      <c r="L30" s="2128"/>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2386</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0"/>
      <c r="F31" s="2115"/>
      <c r="G31" s="2115"/>
      <c r="H31" s="2116"/>
      <c r="I31" s="2115"/>
      <c r="J31" s="2115"/>
      <c r="K31" s="2115"/>
      <c r="L31" s="2129"/>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282216</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282216</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-1660.1829664151869</v>
      </c>
      <c r="R33" s="1186">
        <f ca="1">R34+R36+R37</f>
        <v>0.14734164971002456</v>
      </c>
      <c r="S33" s="1186">
        <f ca="1">S34+S36+S37</f>
        <v>0.14734164971002456</v>
      </c>
      <c r="T33" s="1187"/>
      <c r="U33" s="1186">
        <f>U34+U36+U37</f>
        <v>0</v>
      </c>
      <c r="V33" s="1187"/>
      <c r="W33" s="1186">
        <f ca="1">W34+W36+W37</f>
        <v>9.7884006889397482E-2</v>
      </c>
      <c r="X33" s="1186">
        <f ca="1">X34</f>
        <v>-9.8726389534680478E-2</v>
      </c>
      <c r="Y33" s="1186">
        <f ca="1">Y34</f>
        <v>-9.8726389534680478E-2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56" t="s">
        <v>1695</v>
      </c>
      <c r="F34" s="2115">
        <v>1</v>
      </c>
      <c r="G34" s="2152">
        <v>282216</v>
      </c>
      <c r="H34" s="2116">
        <f>I34+J34+K34</f>
        <v>282216</v>
      </c>
      <c r="I34" s="2115"/>
      <c r="J34" s="2115">
        <f>IF(AB34=1,G34*F34,0)</f>
        <v>282216</v>
      </c>
      <c r="K34" s="2115"/>
      <c r="L34" s="2170"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187.95784886908996</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-1660.1829664151869</v>
      </c>
      <c r="R34" s="1171">
        <f ca="1">O34/'Расчет базового уровня'!$D$35*1163</f>
        <v>0.14734164971002456</v>
      </c>
      <c r="S34" s="1172">
        <f ca="1">R34</f>
        <v>0.14734164971002456</v>
      </c>
      <c r="T34" s="1171">
        <f>IF('Система ГВС'!F3=2,0,P34/'Расчет базового уровня'!$D$85*1163)</f>
        <v>0</v>
      </c>
      <c r="U34" s="1172">
        <f>T34*(1-U41)</f>
        <v>0</v>
      </c>
      <c r="V34" s="1171">
        <f ca="1">(O34+P34)/'Расчет базового уровня'!$D$9*1163</f>
        <v>9.7884006889397482E-2</v>
      </c>
      <c r="W34" s="1173">
        <f ca="1">(S34*'Расчет базового уровня'!$D$35+'Список мероприятий'!U34*'Расчет базового уровня'!$D$15)/'Расчет базового уровня'!$D$9</f>
        <v>9.7884006889397482E-2</v>
      </c>
      <c r="X34" s="1171">
        <f ca="1">Q34/'Расчет базового уровня'!$D$100</f>
        <v>-9.8726389534680478E-2</v>
      </c>
      <c r="Y34" s="1173">
        <f ca="1">X34</f>
        <v>-9.8726389534680478E-2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57"/>
      <c r="F35" s="2115"/>
      <c r="G35" s="2152"/>
      <c r="H35" s="2116"/>
      <c r="I35" s="2115"/>
      <c r="J35" s="2115"/>
      <c r="K35" s="2115"/>
      <c r="L35" s="2135"/>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f>I36+J36+K36</f>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c r="H37" s="1336">
        <f>I37+J37+K37</f>
        <v>0</v>
      </c>
      <c r="I37" s="1237"/>
      <c r="J37" s="1237">
        <f>F37*G37</f>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0</v>
      </c>
      <c r="T38" s="1187"/>
      <c r="U38" s="1197">
        <f>U39+U40+U41</f>
        <v>0</v>
      </c>
      <c r="V38" s="1187"/>
      <c r="W38" s="1197">
        <f ca="1">W39+W40+W41</f>
        <v>0</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c r="G39" s="1237"/>
      <c r="H39" s="1278">
        <f>I39+J39+K39</f>
        <v>0</v>
      </c>
      <c r="I39" s="1238"/>
      <c r="J39" s="1335">
        <f>IF(AB39=1,G39*F39,0)</f>
        <v>0</v>
      </c>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c r="G40" s="1237"/>
      <c r="H40" s="1278">
        <f>I40+J40+K40</f>
        <v>0</v>
      </c>
      <c r="I40" s="1238"/>
      <c r="J40" s="1342">
        <f>IF(AB40=1,G40*F40,0)</f>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IF('Система ГВС'!F3=2,0,P40/'Расчет базового уровня'!$D$85/0.86*1000)</f>
        <v>0</v>
      </c>
      <c r="U40" s="1171">
        <f>IF('Система ГВС'!F3=2,0,T40*(1-T34-T41))</f>
        <v>0</v>
      </c>
      <c r="V40" s="1171">
        <f>(O40+P40)/'Расчет базового уровня'!$D$9/0.86*1000</f>
        <v>0</v>
      </c>
      <c r="W40" s="1173">
        <f>(S40*'Расчет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f>I41+J41+K41</f>
        <v>0</v>
      </c>
      <c r="I41" s="1237"/>
      <c r="J41" s="1237">
        <f>IF(AB41=1,G41*F41,0)</f>
        <v>0</v>
      </c>
      <c r="K41" s="1237"/>
      <c r="L41" s="1193" t="s">
        <v>1718</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1</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247.70000000000002</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f>H45+H46+H47</f>
        <v>0</v>
      </c>
      <c r="I44" s="1237"/>
      <c r="J44" s="1932">
        <f>IF(AB44=1,G44*F44,0)</f>
        <v>0</v>
      </c>
      <c r="K44" s="1237"/>
      <c r="L44" s="2107"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f>I45+J45+K45</f>
        <v>0</v>
      </c>
      <c r="I45" s="1237"/>
      <c r="J45" s="1932">
        <f t="shared" ref="J45:J54" si="2">IF(AB45=1,G45*F45,0)</f>
        <v>0</v>
      </c>
      <c r="K45" s="1237"/>
      <c r="L45" s="2108"/>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f>I46+J46+K46</f>
        <v>0</v>
      </c>
      <c r="I46" s="1237"/>
      <c r="J46" s="1932">
        <f t="shared" si="2"/>
        <v>0</v>
      </c>
      <c r="K46" s="1237"/>
      <c r="L46" s="2108"/>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f>I47+J47+K47</f>
        <v>0</v>
      </c>
      <c r="I47" s="1237"/>
      <c r="J47" s="1932">
        <f t="shared" si="2"/>
        <v>0</v>
      </c>
      <c r="K47" s="1237"/>
      <c r="L47" s="2109"/>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f>H50+H51+H52</f>
        <v>0</v>
      </c>
      <c r="I49" s="1237"/>
      <c r="J49" s="1932">
        <f t="shared" si="2"/>
        <v>0</v>
      </c>
      <c r="K49" s="1237"/>
      <c r="L49" s="2167"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f>I50+J50+K50</f>
        <v>0</v>
      </c>
      <c r="I50" s="1237"/>
      <c r="J50" s="1932">
        <f t="shared" si="2"/>
        <v>0</v>
      </c>
      <c r="K50" s="1237"/>
      <c r="L50" s="2168"/>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f>I51+J51+K51</f>
        <v>0</v>
      </c>
      <c r="I51" s="1237"/>
      <c r="J51" s="1932">
        <f t="shared" si="2"/>
        <v>0</v>
      </c>
      <c r="K51" s="1237"/>
      <c r="L51" s="2168"/>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f>I52+J52+K52</f>
        <v>0</v>
      </c>
      <c r="I52" s="1237"/>
      <c r="J52" s="1932">
        <f t="shared" si="2"/>
        <v>0</v>
      </c>
      <c r="K52" s="1237"/>
      <c r="L52" s="2169"/>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f>I54+J54+K54</f>
        <v>0</v>
      </c>
      <c r="I54" s="1237"/>
      <c r="J54" s="1932">
        <f t="shared" si="2"/>
        <v>0</v>
      </c>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099" t="s">
        <v>1701</v>
      </c>
      <c r="F57" s="1244"/>
      <c r="G57" s="1244"/>
      <c r="H57" s="1307">
        <f>I57+J57+K57</f>
        <v>0</v>
      </c>
      <c r="I57" s="1244"/>
      <c r="J57" s="1932">
        <f t="shared" ref="J57" si="3">IF(AB57=1,G57*F57,0)</f>
        <v>0</v>
      </c>
      <c r="K57" s="1244"/>
      <c r="L57" s="2131"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0"/>
      <c r="F58" s="2113"/>
      <c r="G58" s="2113"/>
      <c r="H58" s="2117">
        <f>I58+J58+K58</f>
        <v>0</v>
      </c>
      <c r="I58" s="2113"/>
      <c r="J58" s="2113">
        <f>IF(AB58=1,G58*F58,0)</f>
        <v>0</v>
      </c>
      <c r="K58" s="2113"/>
      <c r="L58" s="2132"/>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4"/>
      <c r="G59" s="2114"/>
      <c r="H59" s="2118"/>
      <c r="I59" s="2114"/>
      <c r="J59" s="2114"/>
      <c r="K59" s="2114"/>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f>I60+J60+K60</f>
        <v>0</v>
      </c>
      <c r="I60" s="1236"/>
      <c r="J60" s="1932">
        <f t="shared" ref="J60" si="4">IF(AB60=1,G60*F60,0)</f>
        <v>0</v>
      </c>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099" t="s">
        <v>1702</v>
      </c>
      <c r="F63" s="1276" t="s">
        <v>1690</v>
      </c>
      <c r="G63" s="1276" t="s">
        <v>1284</v>
      </c>
      <c r="H63" s="1276" t="s">
        <v>1283</v>
      </c>
      <c r="I63" s="1276" t="s">
        <v>1283</v>
      </c>
      <c r="J63" s="1276" t="s">
        <v>1283</v>
      </c>
      <c r="K63" s="1276" t="s">
        <v>1283</v>
      </c>
      <c r="L63" s="2131"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33"/>
      <c r="F64" s="2126">
        <f>'Расчет базового уровня'!B143</f>
        <v>0</v>
      </c>
      <c r="G64" s="2126"/>
      <c r="H64" s="2116">
        <f>I64+J64+K64</f>
        <v>0</v>
      </c>
      <c r="I64" s="2115"/>
      <c r="J64" s="2115">
        <f>IF(AB64=1,G64*F64,0)</f>
        <v>0</v>
      </c>
      <c r="K64" s="2115"/>
      <c r="L64" s="2134"/>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33"/>
      <c r="F65" s="2115"/>
      <c r="G65" s="2115"/>
      <c r="H65" s="2116"/>
      <c r="I65" s="2115"/>
      <c r="J65" s="2115"/>
      <c r="K65" s="2115"/>
      <c r="L65" s="2134"/>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0"/>
      <c r="F66" s="2115"/>
      <c r="G66" s="2115"/>
      <c r="H66" s="2116"/>
      <c r="I66" s="2115"/>
      <c r="J66" s="2115"/>
      <c r="K66" s="2115"/>
      <c r="L66" s="2135"/>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099" t="s">
        <v>1254</v>
      </c>
      <c r="F68" s="1276" t="s">
        <v>1690</v>
      </c>
      <c r="G68" s="1276" t="s">
        <v>1284</v>
      </c>
      <c r="H68" s="1276" t="s">
        <v>1283</v>
      </c>
      <c r="I68" s="1276" t="s">
        <v>1283</v>
      </c>
      <c r="J68" s="1276" t="s">
        <v>1283</v>
      </c>
      <c r="K68" s="1276" t="s">
        <v>1283</v>
      </c>
      <c r="L68" s="2131"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Повышение теплозащиты перекрытия над подвалом</v>
      </c>
      <c r="E69" s="2133"/>
      <c r="F69" s="2126">
        <f>'Расчет базового уровня'!B144</f>
        <v>1246.7</v>
      </c>
      <c r="G69" s="2126"/>
      <c r="H69" s="2116">
        <f>I69+J69+K69</f>
        <v>0</v>
      </c>
      <c r="I69" s="2115"/>
      <c r="J69" s="2115">
        <f>IF(AB69=1,G69*F69,0)</f>
        <v>0</v>
      </c>
      <c r="K69" s="2115"/>
      <c r="L69" s="2134"/>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1</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33"/>
      <c r="F70" s="2115"/>
      <c r="G70" s="2115"/>
      <c r="H70" s="2116"/>
      <c r="I70" s="2115"/>
      <c r="J70" s="2115"/>
      <c r="K70" s="2115"/>
      <c r="L70" s="2134"/>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0"/>
      <c r="F71" s="2115"/>
      <c r="G71" s="2115"/>
      <c r="H71" s="2116"/>
      <c r="I71" s="2115"/>
      <c r="J71" s="2115"/>
      <c r="K71" s="2115"/>
      <c r="L71" s="2135"/>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(O73+P73)/'Расчет базового уровня'!$D$9/0.86*1000</f>
        <v>0</v>
      </c>
      <c r="W73" s="1216">
        <f>(S73*'Расчет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f>I75+J75+K75</f>
        <v>0</v>
      </c>
      <c r="I75" s="1237"/>
      <c r="J75" s="1297">
        <f>IF(AB75=1,G75*F75,0)</f>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(O75+P75)/'Расчет базового уровня'!$D$9/0.86*1000</f>
        <v>0</v>
      </c>
      <c r="W75" s="1219">
        <f>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099" t="s">
        <v>1272</v>
      </c>
      <c r="F76" s="2115"/>
      <c r="G76" s="2115"/>
      <c r="H76" s="2116">
        <f>I76+J76+K76</f>
        <v>0</v>
      </c>
      <c r="I76" s="2115"/>
      <c r="J76" s="2115">
        <f>IF(AB76=1,G76*F76,0)</f>
        <v>0</v>
      </c>
      <c r="K76" s="2115"/>
      <c r="L76" s="2111"/>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0"/>
      <c r="F77" s="2115"/>
      <c r="G77" s="2115"/>
      <c r="H77" s="2116"/>
      <c r="I77" s="2115"/>
      <c r="J77" s="2115"/>
      <c r="K77" s="2115"/>
      <c r="L77" s="2112"/>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099" t="s">
        <v>1272</v>
      </c>
      <c r="F78" s="2115"/>
      <c r="G78" s="2115"/>
      <c r="H78" s="2116">
        <f>I78+J78+K78</f>
        <v>0</v>
      </c>
      <c r="I78" s="2115"/>
      <c r="J78" s="2115">
        <f>IF(AB78=1,G78*F78,0)</f>
        <v>0</v>
      </c>
      <c r="K78" s="2115"/>
      <c r="L78" s="2111"/>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2446</v>
      </c>
      <c r="E79" s="2100"/>
      <c r="F79" s="2115"/>
      <c r="G79" s="2115"/>
      <c r="H79" s="2116"/>
      <c r="I79" s="2115"/>
      <c r="J79" s="2115"/>
      <c r="K79" s="2115"/>
      <c r="L79" s="2112"/>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f>I80+J80+K80</f>
        <v>0</v>
      </c>
      <c r="I80" s="1237"/>
      <c r="J80" s="1237">
        <f>IF(AB80=1,G80*F80,0)</f>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62" t="str">
        <f>IF(AND('Список мероприятий'!$AB$34=0,'Система отопления'!F5=0,'Система отопления'!F6=0),"Необходимо выбрать установку АУУ СО или АИТП","")</f>
        <v/>
      </c>
      <c r="C82" s="2162"/>
      <c r="D82" s="2162"/>
      <c r="E82" s="2162"/>
      <c r="F82" s="2162"/>
      <c r="G82" s="2162"/>
      <c r="H82" s="2162"/>
      <c r="I82" s="2162"/>
      <c r="J82" s="2162"/>
      <c r="K82" s="2162"/>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0"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0"/>
      <c r="D83" s="2130"/>
      <c r="E83" s="2130"/>
      <c r="F83" s="2130"/>
      <c r="G83" s="2130"/>
      <c r="H83" s="2130"/>
      <c r="I83" s="2130"/>
      <c r="J83" s="2130"/>
      <c r="K83" s="2130"/>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22" t="str">
        <f ca="1">IF(списки!C53=1,CONCATENATE(AE9,AE12,AE13,AE14,AE16,AE22,AE26,AE29,AE39,AE40,AE41,AE44,AE49,AE54,AE34,AE36,AE37,AE57,AE58,AE60,AE64,AE69,AE75,AE76,AE78,AE80),"")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23"/>
      <c r="D84" s="2123"/>
      <c r="E84" s="2123"/>
      <c r="F84" s="2123"/>
      <c r="G84" s="2123"/>
      <c r="H84" s="2123"/>
      <c r="I84" s="2123"/>
      <c r="J84" s="2123"/>
      <c r="K84" s="2124"/>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58" t="s">
        <v>863</v>
      </c>
      <c r="H87" s="2158"/>
      <c r="I87" s="2158"/>
      <c r="J87" s="2159"/>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19" t="s">
        <v>1315</v>
      </c>
      <c r="E88" s="2120"/>
      <c r="F88" s="2120"/>
      <c r="G88" s="2120"/>
      <c r="H88" s="2120"/>
      <c r="I88" s="2120"/>
      <c r="J88" s="2121"/>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282216</v>
      </c>
      <c r="G89" s="2101"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02"/>
      <c r="I89" s="2102"/>
      <c r="J89" s="2103"/>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32.419616087121341</v>
      </c>
      <c r="G90" s="2104"/>
      <c r="H90" s="2105"/>
      <c r="I90" s="2105"/>
      <c r="J90" s="2106"/>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37.300062119189541</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284932.23</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0.1021</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0.99066103919786974</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19" t="s">
        <v>1319</v>
      </c>
      <c r="E95" s="2120"/>
      <c r="F95" s="2120"/>
      <c r="G95" s="2120"/>
      <c r="H95" s="2120"/>
      <c r="I95" s="2120"/>
      <c r="J95" s="2121"/>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204.16000365353275</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-1660.1823529411752</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1660.1829664151869</v>
      </c>
      <c r="G98" s="2153" t="s">
        <v>1323</v>
      </c>
      <c r="H98" s="2154"/>
      <c r="I98" s="2154"/>
      <c r="J98" s="2155"/>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235777.90324767586</v>
      </c>
      <c r="G99" s="2149"/>
      <c r="H99" s="2150"/>
      <c r="I99" s="2150"/>
      <c r="J99" s="2151"/>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31.16240906777281</v>
      </c>
      <c r="G100" s="2149"/>
      <c r="H100" s="2150"/>
      <c r="I100" s="2150"/>
      <c r="J100" s="2151"/>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098"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098"/>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s>
  <conditionalFormatting sqref="D26">
    <cfRule type="expression" dxfId="152" priority="148">
      <formula>$AA$26=0</formula>
    </cfRule>
  </conditionalFormatting>
  <conditionalFormatting sqref="D14:D15">
    <cfRule type="expression" dxfId="151" priority="149">
      <formula>$AA$14=0</formula>
    </cfRule>
  </conditionalFormatting>
  <conditionalFormatting sqref="D12">
    <cfRule type="expression" dxfId="150" priority="150">
      <formula>$AA$12=0</formula>
    </cfRule>
  </conditionalFormatting>
  <conditionalFormatting sqref="D9:D11 D22:D24 D29:D31 D64:D66 D69:D71 D37 D75">
    <cfRule type="expression" dxfId="149" priority="151">
      <formula>$AA9=0</formula>
    </cfRule>
  </conditionalFormatting>
  <conditionalFormatting sqref="D41 D43">
    <cfRule type="expression" dxfId="148" priority="154">
      <formula>$AA$41=0</formula>
    </cfRule>
  </conditionalFormatting>
  <conditionalFormatting sqref="D76:D77">
    <cfRule type="expression" dxfId="147" priority="155">
      <formula>$AA$76=0</formula>
    </cfRule>
  </conditionalFormatting>
  <conditionalFormatting sqref="D80">
    <cfRule type="expression" dxfId="146" priority="156">
      <formula>$AA$80=0</formula>
    </cfRule>
  </conditionalFormatting>
  <conditionalFormatting sqref="D38">
    <cfRule type="expression" dxfId="145" priority="172">
      <formula>$AA$39=0</formula>
    </cfRule>
  </conditionalFormatting>
  <conditionalFormatting sqref="D44">
    <cfRule type="expression" dxfId="144" priority="173">
      <formula>$AA$44=0</formula>
    </cfRule>
  </conditionalFormatting>
  <conditionalFormatting sqref="D57">
    <cfRule type="expression" dxfId="143" priority="174">
      <formula>$AA$57=0</formula>
    </cfRule>
  </conditionalFormatting>
  <conditionalFormatting sqref="A2">
    <cfRule type="expression" dxfId="142" priority="175">
      <formula>$AD$6&gt;=1</formula>
    </cfRule>
  </conditionalFormatting>
  <conditionalFormatting sqref="D58">
    <cfRule type="expression" dxfId="141" priority="176">
      <formula>$AA$58=0</formula>
    </cfRule>
  </conditionalFormatting>
  <conditionalFormatting sqref="D45">
    <cfRule type="expression" dxfId="140" priority="177">
      <formula>$AA$45=0</formula>
    </cfRule>
  </conditionalFormatting>
  <conditionalFormatting sqref="D46">
    <cfRule type="expression" dxfId="139" priority="178">
      <formula>$AA$46=0</formula>
    </cfRule>
  </conditionalFormatting>
  <conditionalFormatting sqref="D47">
    <cfRule type="expression" dxfId="138" priority="179">
      <formula>$AA$47=0</formula>
    </cfRule>
  </conditionalFormatting>
  <conditionalFormatting sqref="D50">
    <cfRule type="expression" dxfId="137" priority="180">
      <formula>$AA$50=0</formula>
    </cfRule>
  </conditionalFormatting>
  <conditionalFormatting sqref="D51">
    <cfRule type="expression" dxfId="136" priority="181">
      <formula>$AA$51=0</formula>
    </cfRule>
  </conditionalFormatting>
  <conditionalFormatting sqref="D52">
    <cfRule type="expression" dxfId="135" priority="182">
      <formula>$AA$52=0</formula>
    </cfRule>
  </conditionalFormatting>
  <conditionalFormatting sqref="D36">
    <cfRule type="expression" dxfId="134" priority="183">
      <formula>$AA$36=0</formula>
    </cfRule>
  </conditionalFormatting>
  <conditionalFormatting sqref="I9 K9 G9 F9">
    <cfRule type="expression" dxfId="133" priority="184">
      <formula>$AB$9=1</formula>
    </cfRule>
  </conditionalFormatting>
  <conditionalFormatting sqref="G12 I12 K12 F12">
    <cfRule type="expression" dxfId="132" priority="187">
      <formula>$AB$12=1</formula>
    </cfRule>
  </conditionalFormatting>
  <conditionalFormatting sqref="I15 K15 F15:G15">
    <cfRule type="expression" dxfId="131" priority="190">
      <formula>$AB$15=1</formula>
    </cfRule>
  </conditionalFormatting>
  <conditionalFormatting sqref="I22 K22 F22:G22">
    <cfRule type="expression" dxfId="130" priority="193">
      <formula>$AB$22=1</formula>
    </cfRule>
  </conditionalFormatting>
  <conditionalFormatting sqref="I26:K26">
    <cfRule type="expression" dxfId="129" priority="196">
      <formula>$AB$26=1</formula>
    </cfRule>
  </conditionalFormatting>
  <conditionalFormatting sqref="I29 K29 F29:G29">
    <cfRule type="expression" dxfId="128" priority="197">
      <formula>$AB$29=1</formula>
    </cfRule>
  </conditionalFormatting>
  <conditionalFormatting sqref="K64 I64 F64:G64">
    <cfRule type="expression" dxfId="127" priority="200">
      <formula>$AB$64=1</formula>
    </cfRule>
  </conditionalFormatting>
  <conditionalFormatting sqref="I69 F69:G69 K69">
    <cfRule type="expression" dxfId="126" priority="203">
      <formula>$AB$69=1</formula>
    </cfRule>
  </conditionalFormatting>
  <conditionalFormatting sqref="I34 K34 F34:G34">
    <cfRule type="expression" dxfId="125" priority="206">
      <formula>$AB$34=1</formula>
    </cfRule>
  </conditionalFormatting>
  <conditionalFormatting sqref="I36:K36 F36:G36">
    <cfRule type="expression" dxfId="124" priority="212">
      <formula>$AB$36=1</formula>
    </cfRule>
  </conditionalFormatting>
  <conditionalFormatting sqref="I37:K37 F37:G37">
    <cfRule type="expression" dxfId="123" priority="213">
      <formula>$AB$37=1</formula>
    </cfRule>
  </conditionalFormatting>
  <conditionalFormatting sqref="F39:G39 I39 K39">
    <cfRule type="expression" dxfId="122" priority="214">
      <formula>$AB$39=1</formula>
    </cfRule>
  </conditionalFormatting>
  <conditionalFormatting sqref="F40:G40">
    <cfRule type="expression" dxfId="121" priority="217">
      <formula>$AB$40=1</formula>
    </cfRule>
  </conditionalFormatting>
  <conditionalFormatting sqref="I41:K41 F41:G41">
    <cfRule type="expression" dxfId="120" priority="220">
      <formula>$AB$41=1</formula>
    </cfRule>
  </conditionalFormatting>
  <conditionalFormatting sqref="F57:G57 I57 K57">
    <cfRule type="expression" dxfId="119" priority="221">
      <formula>$AB$57=1</formula>
    </cfRule>
  </conditionalFormatting>
  <conditionalFormatting sqref="F58:G59 I58:K58">
    <cfRule type="expression" dxfId="118" priority="222">
      <formula>$AB$58=1</formula>
    </cfRule>
  </conditionalFormatting>
  <conditionalFormatting sqref="I60 K60">
    <cfRule type="expression" dxfId="117" priority="223">
      <formula>$AB$60=1</formula>
    </cfRule>
  </conditionalFormatting>
  <conditionalFormatting sqref="I75 K75 F75:G75">
    <cfRule type="expression" dxfId="116" priority="224">
      <formula>$AB$75=1</formula>
    </cfRule>
  </conditionalFormatting>
  <conditionalFormatting sqref="I76:I77 K76:K77">
    <cfRule type="expression" dxfId="115" priority="227">
      <formula>$AB$76=1</formula>
    </cfRule>
  </conditionalFormatting>
  <conditionalFormatting sqref="F76:G77">
    <cfRule type="expression" dxfId="114" priority="230">
      <formula>$AB$76=1</formula>
    </cfRule>
  </conditionalFormatting>
  <conditionalFormatting sqref="I80 K80">
    <cfRule type="expression" dxfId="113" priority="233">
      <formula>$AB$80=1</formula>
    </cfRule>
  </conditionalFormatting>
  <conditionalFormatting sqref="F54:G54 I54 K54">
    <cfRule type="expression" dxfId="112" priority="234">
      <formula>$AB$54=1</formula>
    </cfRule>
  </conditionalFormatting>
  <conditionalFormatting sqref="I50 F50:G50 K50">
    <cfRule type="expression" dxfId="111" priority="235">
      <formula>$AB$50=1</formula>
    </cfRule>
  </conditionalFormatting>
  <conditionalFormatting sqref="F52:G52 I52 K52">
    <cfRule type="expression" dxfId="110" priority="236">
      <formula>$AB52=1</formula>
    </cfRule>
  </conditionalFormatting>
  <conditionalFormatting sqref="G80">
    <cfRule type="expression" dxfId="109" priority="41">
      <formula>$AB$80=1</formula>
    </cfRule>
  </conditionalFormatting>
  <conditionalFormatting sqref="F69">
    <cfRule type="expression" dxfId="108" priority="40">
      <formula>$AB$69=1</formula>
    </cfRule>
  </conditionalFormatting>
  <conditionalFormatting sqref="K40">
    <cfRule type="expression" dxfId="107" priority="39">
      <formula>$AB$40=1</formula>
    </cfRule>
  </conditionalFormatting>
  <conditionalFormatting sqref="I40">
    <cfRule type="expression" dxfId="106" priority="38">
      <formula>$AB$40=1</formula>
    </cfRule>
  </conditionalFormatting>
  <conditionalFormatting sqref="D43">
    <cfRule type="expression" dxfId="105" priority="32">
      <formula>$AB$41=0</formula>
    </cfRule>
    <cfRule type="expression" dxfId="104" priority="37">
      <formula>$AB$41=1</formula>
    </cfRule>
  </conditionalFormatting>
  <conditionalFormatting sqref="D42">
    <cfRule type="expression" dxfId="103" priority="33">
      <formula>$AB$41=0</formula>
    </cfRule>
    <cfRule type="expression" dxfId="102" priority="35">
      <formula>$AA$41=0</formula>
    </cfRule>
  </conditionalFormatting>
  <conditionalFormatting sqref="D35">
    <cfRule type="expression" dxfId="101" priority="31">
      <formula>$AB$34=0</formula>
    </cfRule>
  </conditionalFormatting>
  <conditionalFormatting sqref="D40">
    <cfRule type="expression" dxfId="100" priority="30">
      <formula>$AA$39=0</formula>
    </cfRule>
  </conditionalFormatting>
  <conditionalFormatting sqref="D54">
    <cfRule type="expression" dxfId="99" priority="29">
      <formula>$AA$54=0</formula>
    </cfRule>
  </conditionalFormatting>
  <conditionalFormatting sqref="F80">
    <cfRule type="expression" dxfId="98" priority="28">
      <formula>$AB$80=1</formula>
    </cfRule>
  </conditionalFormatting>
  <conditionalFormatting sqref="F51:G51 I51 K51">
    <cfRule type="expression" dxfId="97" priority="27">
      <formula>$AB$51=1</formula>
    </cfRule>
  </conditionalFormatting>
  <conditionalFormatting sqref="F47:G47 I47 K47">
    <cfRule type="expression" dxfId="96" priority="26">
      <formula>$AB$47=1</formula>
    </cfRule>
  </conditionalFormatting>
  <conditionalFormatting sqref="F46:G46 I46 K46">
    <cfRule type="expression" dxfId="95" priority="25">
      <formula>$AB$46=1</formula>
    </cfRule>
  </conditionalFormatting>
  <conditionalFormatting sqref="F45:G45 I45 K45">
    <cfRule type="expression" dxfId="94" priority="24">
      <formula>$AB$45=1</formula>
    </cfRule>
  </conditionalFormatting>
  <conditionalFormatting sqref="D16:D17">
    <cfRule type="expression" dxfId="93" priority="13">
      <formula>$AA$14=0</formula>
    </cfRule>
  </conditionalFormatting>
  <conditionalFormatting sqref="I17 K17 F17:G17">
    <cfRule type="expression" dxfId="92" priority="14">
      <formula>$AB$15=1</formula>
    </cfRule>
  </conditionalFormatting>
  <conditionalFormatting sqref="D78:D79">
    <cfRule type="expression" dxfId="91" priority="10">
      <formula>$AA$76=0</formula>
    </cfRule>
  </conditionalFormatting>
  <conditionalFormatting sqref="I78:I79 K78:K79">
    <cfRule type="expression" dxfId="90" priority="11">
      <formula>$AB$76=1</formula>
    </cfRule>
  </conditionalFormatting>
  <conditionalFormatting sqref="F78:G79">
    <cfRule type="expression" dxfId="89" priority="12">
      <formula>$AB$76=1</formula>
    </cfRule>
  </conditionalFormatting>
  <conditionalFormatting sqref="F13">
    <cfRule type="expression" dxfId="88" priority="8">
      <formula>$AB$15=1</formula>
    </cfRule>
  </conditionalFormatting>
  <conditionalFormatting sqref="G13">
    <cfRule type="expression" dxfId="87" priority="7">
      <formula>$AB$12=1</formula>
    </cfRule>
  </conditionalFormatting>
  <conditionalFormatting sqref="I13 K13">
    <cfRule type="expression" dxfId="86" priority="6">
      <formula>$AB$12=1</formula>
    </cfRule>
  </conditionalFormatting>
  <conditionalFormatting sqref="J44:J47">
    <cfRule type="expression" dxfId="85" priority="5">
      <formula>$AB$41=1</formula>
    </cfRule>
  </conditionalFormatting>
  <conditionalFormatting sqref="J49:J52">
    <cfRule type="expression" dxfId="84" priority="4">
      <formula>$AB$41=1</formula>
    </cfRule>
  </conditionalFormatting>
  <conditionalFormatting sqref="J54">
    <cfRule type="expression" dxfId="83" priority="3">
      <formula>$AB$41=1</formula>
    </cfRule>
  </conditionalFormatting>
  <conditionalFormatting sqref="J57">
    <cfRule type="expression" dxfId="82" priority="2">
      <formula>$AB$41=1</formula>
    </cfRule>
  </conditionalFormatting>
  <conditionalFormatting sqref="J60">
    <cfRule type="expression" dxfId="81"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29" activePane="bottomLeft" state="frozen"/>
      <selection pane="bottomLeft" activeCell="H17" sqref="H17:I17"/>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72" t="s">
        <v>2500</v>
      </c>
      <c r="C1" s="2172"/>
      <c r="D1" s="2172"/>
      <c r="E1" s="2172"/>
      <c r="F1" s="1709"/>
      <c r="G1" s="1709"/>
      <c r="H1" s="2172" t="s">
        <v>2499</v>
      </c>
      <c r="I1" s="2172"/>
      <c r="J1" s="2172"/>
      <c r="K1" s="2172"/>
      <c r="L1" s="1709"/>
      <c r="M1" s="1709"/>
      <c r="N1" s="2172" t="s">
        <v>1570</v>
      </c>
      <c r="O1" s="2172"/>
      <c r="P1" s="2172"/>
      <c r="Q1" s="2172"/>
      <c r="R1" s="2172"/>
      <c r="S1" s="1711"/>
      <c r="T1" s="1709"/>
      <c r="U1" s="1709"/>
      <c r="V1" s="1709"/>
    </row>
    <row r="2" spans="1:22" s="27" customFormat="1" x14ac:dyDescent="0.2">
      <c r="A2" s="263"/>
      <c r="B2" s="263"/>
      <c r="C2" s="263"/>
      <c r="D2" s="263"/>
      <c r="E2" s="263"/>
      <c r="F2" s="263"/>
      <c r="G2" s="2276" t="s">
        <v>1366</v>
      </c>
      <c r="H2" s="2277"/>
      <c r="I2" s="2277"/>
      <c r="J2" s="2277"/>
      <c r="K2" s="2277"/>
      <c r="L2" s="2278"/>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86" t="s">
        <v>2328</v>
      </c>
      <c r="C4" s="2187"/>
      <c r="D4" s="2187"/>
      <c r="E4" s="2187"/>
      <c r="F4" s="2187"/>
      <c r="G4" s="2187"/>
      <c r="H4" s="2208"/>
      <c r="I4" s="264"/>
      <c r="J4" s="264"/>
      <c r="K4" s="264"/>
      <c r="L4" s="264"/>
      <c r="M4" s="1232"/>
      <c r="N4" s="1232"/>
      <c r="O4" s="1232"/>
      <c r="P4" s="1232" t="s">
        <v>1661</v>
      </c>
      <c r="Q4" s="1232"/>
      <c r="R4" s="264"/>
      <c r="S4" s="264"/>
      <c r="T4" s="264"/>
      <c r="U4" s="264"/>
      <c r="V4" s="264"/>
    </row>
    <row r="5" spans="1:22" ht="30" customHeight="1" x14ac:dyDescent="0.2">
      <c r="A5" s="264"/>
      <c r="B5" s="2224" t="s">
        <v>2327</v>
      </c>
      <c r="C5" s="2225"/>
      <c r="D5" s="2225"/>
      <c r="E5" s="2225"/>
      <c r="F5" s="2225"/>
      <c r="G5" s="2226"/>
      <c r="H5" s="1714">
        <f>'Ввод исходных данных'!G56+'Ввод исходных данных'!D23</f>
        <v>7566.1</v>
      </c>
      <c r="I5" s="264"/>
      <c r="J5" s="2177" t="s">
        <v>1662</v>
      </c>
      <c r="K5" s="2177"/>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78" t="s">
        <v>2325</v>
      </c>
      <c r="C6" s="2179"/>
      <c r="D6" s="2179"/>
      <c r="E6" s="2179"/>
      <c r="F6" s="2179"/>
      <c r="G6" s="2180"/>
      <c r="H6" s="1755"/>
      <c r="I6" s="264"/>
      <c r="J6" s="2173" t="s">
        <v>1677</v>
      </c>
      <c r="K6" s="2174"/>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78" t="s">
        <v>2326</v>
      </c>
      <c r="C7" s="2179"/>
      <c r="D7" s="2179"/>
      <c r="E7" s="2179"/>
      <c r="F7" s="2179"/>
      <c r="G7" s="2180"/>
      <c r="H7" s="1759"/>
      <c r="I7" s="264"/>
      <c r="J7" s="2279" t="s">
        <v>1374</v>
      </c>
      <c r="K7" s="2280"/>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78" t="s">
        <v>2340</v>
      </c>
      <c r="C8" s="2179"/>
      <c r="D8" s="2179"/>
      <c r="E8" s="2179"/>
      <c r="F8" s="2179"/>
      <c r="G8" s="2180"/>
      <c r="H8" s="1760">
        <f>H6*H5*12*H7</f>
        <v>0</v>
      </c>
      <c r="I8" s="264"/>
      <c r="J8" s="2175" t="s">
        <v>1660</v>
      </c>
      <c r="K8" s="2176"/>
      <c r="L8" s="264"/>
      <c r="M8" s="1232">
        <v>4</v>
      </c>
      <c r="N8" s="1233" t="str">
        <f>'Список мероприятий'!$W$14&amp;"/"&amp;'Список мероприятий'!$Y$14</f>
        <v>0/</v>
      </c>
      <c r="O8" s="1232" t="str">
        <f ca="1">IFERROR(IF(P8=0,"","Замена окон МОП"),"")</f>
        <v/>
      </c>
      <c r="P8" s="1234">
        <f t="shared" ca="1" si="0"/>
        <v>0</v>
      </c>
      <c r="Q8" s="1232">
        <f t="shared" si="1"/>
        <v>0</v>
      </c>
      <c r="R8" s="264"/>
      <c r="S8" s="264"/>
      <c r="T8" s="264"/>
      <c r="U8" s="264"/>
      <c r="V8" s="264"/>
    </row>
    <row r="9" spans="1:22" ht="15" customHeight="1" x14ac:dyDescent="0.2">
      <c r="A9" s="264"/>
      <c r="B9" s="2181" t="s">
        <v>2341</v>
      </c>
      <c r="C9" s="2182"/>
      <c r="D9" s="2182"/>
      <c r="E9" s="2182"/>
      <c r="F9" s="2182"/>
      <c r="G9" s="2183"/>
      <c r="H9" s="1757"/>
      <c r="I9" s="264"/>
      <c r="J9" s="2281" t="s">
        <v>2395</v>
      </c>
      <c r="K9" s="2282"/>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'Список мероприятий'!$W$22&amp;"/"&amp;'Список мероприятий'!$Y$22</f>
        <v>0/</v>
      </c>
      <c r="O10" s="1232" t="str">
        <f ca="1">IFERROR(IF(P10=0,"","Повыш-е теплозащ. совмещенной кровли"),"")</f>
        <v/>
      </c>
      <c r="P10" s="1234">
        <f t="shared" ca="1" si="0"/>
        <v>0</v>
      </c>
      <c r="Q10" s="1232">
        <f t="shared" si="1"/>
        <v>0</v>
      </c>
      <c r="R10" s="264"/>
      <c r="S10" s="264"/>
      <c r="T10" s="264"/>
      <c r="U10" s="264"/>
      <c r="V10" s="264"/>
    </row>
    <row r="11" spans="1:22" ht="15" customHeight="1" x14ac:dyDescent="0.2">
      <c r="A11" s="264"/>
      <c r="B11" s="2186" t="s">
        <v>2313</v>
      </c>
      <c r="C11" s="2187"/>
      <c r="D11" s="2187"/>
      <c r="E11" s="2187"/>
      <c r="F11" s="2187"/>
      <c r="G11" s="2187"/>
      <c r="H11" s="2208"/>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224" t="s">
        <v>2342</v>
      </c>
      <c r="C12" s="2225"/>
      <c r="D12" s="2225"/>
      <c r="E12" s="2225"/>
      <c r="F12" s="2225"/>
      <c r="G12" s="2226"/>
      <c r="H12" s="1716">
        <f>IFERROR(ROUND('Ввод исходных данных'!D302,2),"")</f>
        <v>1423.28</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181" t="s">
        <v>2343</v>
      </c>
      <c r="C13" s="2182"/>
      <c r="D13" s="2182"/>
      <c r="E13" s="2182"/>
      <c r="F13" s="2182"/>
      <c r="G13" s="2183"/>
      <c r="H13" s="1717">
        <f>IFERROR(ROUND('Ввод исходных данных'!E302,2),"")</f>
        <v>3.4</v>
      </c>
      <c r="I13" s="264"/>
      <c r="J13" s="264"/>
      <c r="K13" s="264"/>
      <c r="L13" s="264"/>
      <c r="M13" s="1232">
        <v>9</v>
      </c>
      <c r="N13" s="1233" t="str">
        <f ca="1">'Список мероприятий'!$W$34&amp;"/"&amp;'Список мероприятий'!$Y$34</f>
        <v>0,0978840068893975/-0,0987263895346805</v>
      </c>
      <c r="O13" s="1232" t="str">
        <f ca="1">IFERROR(IF(P13=0,"","Установка узлов управления"),"")</f>
        <v>Установка узлов управления</v>
      </c>
      <c r="P13" s="1234">
        <f ca="1">Q13/SUM($Q$5:$Q$29)</f>
        <v>1</v>
      </c>
      <c r="Q13" s="1232">
        <f t="shared" ca="1" si="1"/>
        <v>261872.02419120749</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186" t="s">
        <v>2329</v>
      </c>
      <c r="C15" s="2187"/>
      <c r="D15" s="2187"/>
      <c r="E15" s="2187"/>
      <c r="F15" s="2187"/>
      <c r="G15" s="2187"/>
      <c r="H15" s="2196" t="s">
        <v>2337</v>
      </c>
      <c r="I15" s="2197"/>
      <c r="J15" s="2196" t="s">
        <v>2338</v>
      </c>
      <c r="K15" s="2197"/>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224" t="s">
        <v>2314</v>
      </c>
      <c r="C16" s="2225"/>
      <c r="D16" s="2225"/>
      <c r="E16" s="2225"/>
      <c r="F16" s="2225"/>
      <c r="G16" s="2226"/>
      <c r="H16" s="2188">
        <f>'Список мероприятий'!BB32</f>
        <v>282216</v>
      </c>
      <c r="I16" s="2189"/>
      <c r="J16" s="2188">
        <f>IFERROR(H16/H5,"")</f>
        <v>37.300062119189541</v>
      </c>
      <c r="K16" s="2198"/>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78" t="s">
        <v>2315</v>
      </c>
      <c r="C17" s="2179"/>
      <c r="D17" s="2179"/>
      <c r="E17" s="2179"/>
      <c r="F17" s="2179"/>
      <c r="G17" s="2180"/>
      <c r="H17" s="2190"/>
      <c r="I17" s="2191"/>
      <c r="J17" s="2184">
        <f>IFERROR(H17/H5,"")</f>
        <v>0</v>
      </c>
      <c r="K17" s="2185"/>
      <c r="L17" s="264"/>
      <c r="M17" s="1232">
        <v>13</v>
      </c>
      <c r="N17" s="1233" t="str">
        <f>'Список мероприятий'!$W$40&amp;"/"&amp;'Список мероприятий'!$Y$40</f>
        <v>0/</v>
      </c>
      <c r="O17" s="1232" t="str">
        <f ca="1">IFERROR(IF(P17=0,"","Ремонт трубопровода ГВС"),"")</f>
        <v/>
      </c>
      <c r="P17" s="1234">
        <f t="shared" ca="1" si="0"/>
        <v>0</v>
      </c>
      <c r="Q17" s="1232">
        <f t="shared" si="1"/>
        <v>0</v>
      </c>
      <c r="R17" s="264"/>
      <c r="S17" s="264"/>
      <c r="T17" s="264"/>
      <c r="U17" s="264"/>
      <c r="V17" s="264"/>
    </row>
    <row r="18" spans="1:22" ht="15" customHeight="1" x14ac:dyDescent="0.2">
      <c r="A18" s="264"/>
      <c r="B18" s="2181" t="s">
        <v>2316</v>
      </c>
      <c r="C18" s="2182"/>
      <c r="D18" s="2182"/>
      <c r="E18" s="2182"/>
      <c r="F18" s="2182"/>
      <c r="G18" s="2183"/>
      <c r="H18" s="2192">
        <f>IFERROR(H17+H16,"")</f>
        <v>282216</v>
      </c>
      <c r="I18" s="2193"/>
      <c r="J18" s="2192">
        <f>IFERROR(H18/H5,"")</f>
        <v>37.300062119189541</v>
      </c>
      <c r="K18" s="2199"/>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195" t="str">
        <f>IF(H19="","","Справочно: стоимость дополнительных мероприятий, не относящихся
к капитальному ремонту общего имущества:")</f>
        <v/>
      </c>
      <c r="C19" s="2195"/>
      <c r="D19" s="2195"/>
      <c r="E19" s="2195"/>
      <c r="F19" s="2195"/>
      <c r="G19" s="2195"/>
      <c r="H19" s="2194" t="str">
        <f>IF('Список мероприятий'!BB33=0,"",'Список мероприятий'!BB33)</f>
        <v/>
      </c>
      <c r="I19" s="2194"/>
      <c r="J19" s="2212" t="str">
        <f>IFERROR(H19/H5,"")</f>
        <v/>
      </c>
      <c r="K19" s="2212"/>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186" t="s">
        <v>2330</v>
      </c>
      <c r="C21" s="2187"/>
      <c r="D21" s="2187"/>
      <c r="E21" s="2187"/>
      <c r="F21" s="2187"/>
      <c r="G21" s="2208"/>
      <c r="H21" s="2196" t="s">
        <v>2333</v>
      </c>
      <c r="I21" s="2197"/>
      <c r="J21" s="2196" t="s">
        <v>2334</v>
      </c>
      <c r="K21" s="2197"/>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292" t="s">
        <v>2339</v>
      </c>
      <c r="C22" s="2293"/>
      <c r="D22" s="2294"/>
      <c r="E22" s="2228" t="s">
        <v>1291</v>
      </c>
      <c r="F22" s="2229"/>
      <c r="G22" s="2230"/>
      <c r="H22" s="2213">
        <f>IFERROR(H23+H26,0)</f>
        <v>2790170.88</v>
      </c>
      <c r="I22" s="2214"/>
      <c r="J22" s="2188">
        <f ca="1">J23+J26</f>
        <v>2505238.65</v>
      </c>
      <c r="K22" s="2198"/>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95"/>
      <c r="C23" s="2296"/>
      <c r="D23" s="2297"/>
      <c r="E23" s="2215" t="s">
        <v>1287</v>
      </c>
      <c r="F23" s="2216"/>
      <c r="G23" s="2217"/>
      <c r="H23" s="2184">
        <f>IFERROR(H24+H25,0)</f>
        <v>2732996.48</v>
      </c>
      <c r="I23" s="2185"/>
      <c r="J23" s="2184">
        <f ca="1">J24+J25</f>
        <v>2442419.63</v>
      </c>
      <c r="K23" s="2185"/>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95"/>
      <c r="C24" s="2296"/>
      <c r="D24" s="2297"/>
      <c r="E24" s="2218" t="s">
        <v>1168</v>
      </c>
      <c r="F24" s="2219"/>
      <c r="G24" s="2220"/>
      <c r="H24" s="2184">
        <f>IFERROR(ROUND('Расчет базового уровня'!D13*H12,2),0)</f>
        <v>1815621.36</v>
      </c>
      <c r="I24" s="2185"/>
      <c r="J24" s="2184">
        <f ca="1">ROUND(IF(списки!C53=0,0,'Расчет после реализации'!D12/1163*H12),2)</f>
        <v>1525044.51</v>
      </c>
      <c r="K24" s="2185"/>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95"/>
      <c r="C25" s="2296"/>
      <c r="D25" s="2297"/>
      <c r="E25" s="2218" t="s">
        <v>541</v>
      </c>
      <c r="F25" s="2219"/>
      <c r="G25" s="2220"/>
      <c r="H25" s="2184">
        <f>IFERROR(ROUND('Расчет базового уровня'!D16*H12,2),0)</f>
        <v>917375.12</v>
      </c>
      <c r="I25" s="2185"/>
      <c r="J25" s="2184">
        <f ca="1">ROUND(IF(списки!C53=0,0,'Расчет после реализации'!D15/1163*H12),2)</f>
        <v>917375.12</v>
      </c>
      <c r="K25" s="2185"/>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98"/>
      <c r="C26" s="2299"/>
      <c r="D26" s="2300"/>
      <c r="E26" s="2205" t="s">
        <v>1215</v>
      </c>
      <c r="F26" s="2206"/>
      <c r="G26" s="2207"/>
      <c r="H26" s="2192">
        <f>IFERROR(ROUND('Расчет базового уровня'!D18*H13,2),0)</f>
        <v>57174.400000000001</v>
      </c>
      <c r="I26" s="2199"/>
      <c r="J26" s="2192">
        <f ca="1">ROUND(IF(списки!C53=0,0,'Расчет после реализации'!D18*H13),2)</f>
        <v>62819.02</v>
      </c>
      <c r="K26" s="2199"/>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'Список мероприятий'!$W$75&amp;"/"&amp;'Список мероприятий'!$Y$75</f>
        <v>0/</v>
      </c>
      <c r="O27" s="1232" t="str">
        <f ca="1">IFERROR(IF(P27=0,"","Утепление наружных дверей"),"")</f>
        <v/>
      </c>
      <c r="P27" s="1234">
        <f t="shared" ca="1" si="0"/>
        <v>0</v>
      </c>
      <c r="Q27" s="1232">
        <f t="shared" si="1"/>
        <v>0</v>
      </c>
      <c r="R27" s="264"/>
      <c r="S27" s="264"/>
      <c r="T27" s="264"/>
      <c r="U27" s="264"/>
      <c r="V27" s="264"/>
    </row>
    <row r="28" spans="1:22" ht="15" customHeight="1" x14ac:dyDescent="0.2">
      <c r="A28" s="264"/>
      <c r="B28" s="2200" t="s">
        <v>2332</v>
      </c>
      <c r="C28" s="2201"/>
      <c r="D28" s="2201"/>
      <c r="E28" s="2201"/>
      <c r="F28" s="2201"/>
      <c r="G28" s="2202"/>
      <c r="H28" s="1718">
        <f ca="1">IFERROR(H30*H13,"")</f>
        <v>5644.6220858116358</v>
      </c>
      <c r="I28" s="264"/>
      <c r="J28" s="2290"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290"/>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si="1"/>
        <v>0</v>
      </c>
      <c r="R28" s="264"/>
      <c r="S28" s="264"/>
      <c r="T28" s="264"/>
      <c r="U28" s="264"/>
      <c r="V28" s="264"/>
    </row>
    <row r="29" spans="1:22" ht="45" customHeight="1" x14ac:dyDescent="0.2">
      <c r="A29" s="264"/>
      <c r="B29" s="2178" t="s">
        <v>2344</v>
      </c>
      <c r="C29" s="2179"/>
      <c r="D29" s="2179"/>
      <c r="E29" s="2179"/>
      <c r="F29" s="2179"/>
      <c r="G29" s="2180"/>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290"/>
      <c r="K29" s="2290"/>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si="1"/>
        <v>0</v>
      </c>
      <c r="R29" s="264"/>
      <c r="S29" s="264"/>
      <c r="T29" s="264"/>
      <c r="U29" s="264"/>
      <c r="V29" s="264"/>
    </row>
    <row r="30" spans="1:22" ht="30" customHeight="1" x14ac:dyDescent="0.2">
      <c r="A30" s="264"/>
      <c r="B30" s="2181" t="s">
        <v>2331</v>
      </c>
      <c r="C30" s="2182"/>
      <c r="D30" s="2182"/>
      <c r="E30" s="2182"/>
      <c r="F30" s="2182"/>
      <c r="G30" s="2183"/>
      <c r="H30" s="1720">
        <f ca="1">IF(списки!C53=0,"",IF('Расчет после реализации'!D108&gt;'Расчет после реализации'!C108,'Расчет после реализации'!D108-'Расчет после реализации'!C108,0))</f>
        <v>1660.1829664151869</v>
      </c>
      <c r="I30" s="2210" t="str">
        <f ca="1">IF('Ввод исходных данных'!E323="Ошибок нет","","Экономия не расчитана, так как имеются ошибки ввода исходных данных.")</f>
        <v/>
      </c>
      <c r="J30" s="2211"/>
      <c r="K30" s="2211"/>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00" t="s">
        <v>2335</v>
      </c>
      <c r="C32" s="2201"/>
      <c r="D32" s="2201"/>
      <c r="E32" s="2201"/>
      <c r="F32" s="2201"/>
      <c r="G32" s="2202"/>
      <c r="H32" s="1721">
        <f ca="1">ROUND(IF(списки!C49=1,0,H33*(H22)),2)</f>
        <v>284876.45</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03" t="s">
        <v>2336</v>
      </c>
      <c r="C33" s="2204"/>
      <c r="D33" s="2204"/>
      <c r="E33" s="2204"/>
      <c r="F33" s="2204"/>
      <c r="G33" s="2204"/>
      <c r="H33" s="1722">
        <f ca="1">IFERROR(ROUND(IF(списки!C53=0,"",1-J22/H22),4),"")</f>
        <v>0.1021</v>
      </c>
      <c r="I33" s="2209" t="str">
        <f ca="1">IF(H33&lt;0.1,"Выбранных мероприятий будет недостаточно для достижения существенного показателя экономии!","")</f>
        <v/>
      </c>
      <c r="J33" s="2177"/>
      <c r="K33" s="2177"/>
      <c r="L33" s="2177"/>
      <c r="M33" s="2177"/>
      <c r="N33" s="2177"/>
      <c r="O33" s="2177"/>
      <c r="P33" s="264"/>
      <c r="Q33" s="264"/>
      <c r="R33" s="264"/>
      <c r="S33" s="264"/>
      <c r="T33" s="264"/>
      <c r="U33" s="264"/>
      <c r="V33" s="264"/>
    </row>
    <row r="34" spans="1:22" ht="15" customHeight="1" x14ac:dyDescent="0.2">
      <c r="A34" s="264"/>
      <c r="B34" s="2178" t="s">
        <v>2352</v>
      </c>
      <c r="C34" s="2179"/>
      <c r="D34" s="2179"/>
      <c r="E34" s="2179"/>
      <c r="F34" s="2179"/>
      <c r="G34" s="2180"/>
      <c r="H34" s="1723">
        <f ca="1">IFERROR(IF(OR(списки!C51=1,H16&lt;=0),"",H16/H32),"")</f>
        <v>0.99066103919786974</v>
      </c>
      <c r="I34" s="1706" t="str">
        <f ca="1">IF(H16&gt;0,IF(OR(U34&gt;0,V34&gt;0),"← ","")&amp;IF(U34=0,"",U34&amp;" "&amp;U35&amp;IF(V34=0,""," и "))&amp;IF(V34=0,"",V34&amp;" "&amp;V35),"← Укажите стоимость выбранных мероприятий по энергосбережению!")</f>
        <v>← 1 год и 12 месяцев</v>
      </c>
      <c r="J34" s="264"/>
      <c r="K34" s="264"/>
      <c r="L34" s="264"/>
      <c r="M34" s="264"/>
      <c r="N34" s="264"/>
      <c r="O34" s="264"/>
      <c r="P34" s="264"/>
      <c r="Q34" s="264"/>
      <c r="R34" s="264"/>
      <c r="S34" s="264"/>
      <c r="T34" s="264"/>
      <c r="U34" s="264">
        <f ca="1">IFERROR(IF(H32&lt;=0,0,ROUNDDOWN(H16/H32,0)+IF(AND(H32&gt;0,MONTH(DATE(2019,1,1)+ROUNDUP(MOD(H16/H32,1)*365,0)-1)=12),1,0)),0)</f>
        <v>1</v>
      </c>
      <c r="V34" s="264">
        <f ca="1">IFERROR(MONTH(DATE(2019,1,1)+ROUNDUP(MOD(H16/H32,1)*365,0)-1)*IF(OR(H32&lt;=0,MONTH(DATE(2019,1,1)+ROUNDUP(MOD(H16/32,1)*365,0)-1)=12),0,1),0)</f>
        <v>12</v>
      </c>
    </row>
    <row r="35" spans="1:22" ht="15" customHeight="1" x14ac:dyDescent="0.2">
      <c r="A35" s="264"/>
      <c r="B35" s="2178" t="s">
        <v>2498</v>
      </c>
      <c r="C35" s="2179"/>
      <c r="D35" s="2179"/>
      <c r="E35" s="2179"/>
      <c r="F35" s="2179"/>
      <c r="G35" s="2180"/>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E → E</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t="str">
        <f ca="1">CHOOSE(
   IF(OR(RIGHT(U34,2)="11",
                           RIGHT(U34,2)="12",
                           RIGHT(U34,2)="13",
                           RIGHT(U34,2)="14"),
                3,
                IF(RIGHT(U34,1)="1",
                             1,
                             IF(OR(RIGHT(U34,1)="2",
                                                     RIGHT(U34,1)="3",
                                                     RIGHT(U34,1)="4"),
                                           2,
                                           3))),
"год","года","лет")</f>
        <v>год</v>
      </c>
      <c r="V35" s="264" t="str">
        <f ca="1">CHOOSE(
   IF(OR(RIGHT(V34,2)="11",
                           RIGHT(V34,2)="12",
                           RIGHT(V34,2)="13",
                           RIGHT(V34,2)="14"),
                3,
                IF(RIGHT(V34,1)="1",
                             1,
                             IF(OR(RIGHT(V34,1)="2",
                                                     RIGHT(V34,1)="3",
                                                     RIGHT(V34,1)="4"),
                                          2,
                                          3))),
"месяц","месяца","месяцев")</f>
        <v>месяцев</v>
      </c>
    </row>
    <row r="36" spans="1:22" ht="15" customHeight="1" x14ac:dyDescent="0.2">
      <c r="A36" s="264"/>
      <c r="B36" s="2181" t="s">
        <v>2392</v>
      </c>
      <c r="C36" s="2182"/>
      <c r="D36" s="2182"/>
      <c r="E36" s="2182"/>
      <c r="F36" s="2182"/>
      <c r="G36" s="2183"/>
      <c r="H36" s="1724">
        <f ca="1">IFERROR('классы ЭЭ и выбросы ПГ'!E44+'классы ЭЭ и выбросы ПГ'!F44-'классы ЭЭ и выбросы ПГ'!G44-'классы ЭЭ и выбросы ПГ'!H44,"")</f>
        <v>82.513828747841984</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713,6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186" t="s">
        <v>2396</v>
      </c>
      <c r="C38" s="2187"/>
      <c r="D38" s="2187"/>
      <c r="E38" s="2208"/>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42" t="s">
        <v>2393</v>
      </c>
      <c r="C39" s="2243"/>
      <c r="D39" s="2243"/>
      <c r="E39" s="2244"/>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45" t="s">
        <v>2394</v>
      </c>
      <c r="C40" s="2246"/>
      <c r="D40" s="2246"/>
      <c r="E40" s="2247"/>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48" t="s">
        <v>1788</v>
      </c>
      <c r="C41" s="2249"/>
      <c r="D41" s="2249"/>
      <c r="E41" s="2250"/>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51" t="s">
        <v>1789</v>
      </c>
      <c r="C42" s="2252"/>
      <c r="D42" s="2252"/>
      <c r="E42" s="2253"/>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54" t="s">
        <v>1790</v>
      </c>
      <c r="C43" s="2255"/>
      <c r="D43" s="2255"/>
      <c r="E43" s="2256"/>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57" t="s">
        <v>1791</v>
      </c>
      <c r="C44" s="2258"/>
      <c r="D44" s="2258"/>
      <c r="E44" s="2259"/>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60" t="s">
        <v>1792</v>
      </c>
      <c r="C45" s="2261"/>
      <c r="D45" s="2261"/>
      <c r="E45" s="2262"/>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63" t="s">
        <v>1793</v>
      </c>
      <c r="C46" s="2264"/>
      <c r="D46" s="2264"/>
      <c r="E46" s="2265"/>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66" t="s">
        <v>1794</v>
      </c>
      <c r="C47" s="2267"/>
      <c r="D47" s="2267"/>
      <c r="E47" s="2268"/>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69" t="s">
        <v>2397</v>
      </c>
      <c r="C48" s="2269"/>
      <c r="D48" s="2269"/>
      <c r="E48" s="2269"/>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86" t="s">
        <v>2366</v>
      </c>
      <c r="C79" s="2187"/>
      <c r="D79" s="2187"/>
      <c r="E79" s="2187"/>
      <c r="F79" s="2187"/>
      <c r="G79" s="2187"/>
      <c r="H79" s="2208"/>
      <c r="I79" s="264"/>
      <c r="J79" s="264"/>
      <c r="K79" s="264"/>
      <c r="L79" s="264"/>
      <c r="M79" s="2286" t="s">
        <v>2357</v>
      </c>
      <c r="N79" s="2286"/>
      <c r="O79" s="2286"/>
      <c r="P79" s="2286"/>
      <c r="Q79" s="2286"/>
      <c r="R79" s="2286"/>
      <c r="S79" s="264"/>
      <c r="T79" s="264"/>
      <c r="U79" s="264" t="str">
        <f>IF(IFERROR(5*10^6/H22,0)=V79,"максимум","пятой части")</f>
        <v>пятой части</v>
      </c>
      <c r="V79" s="264">
        <f>MIN(0.2,IFERROR(5*10^6/H$22,0.2))</f>
        <v>0.2</v>
      </c>
    </row>
    <row r="80" spans="1:22" ht="30" customHeight="1" x14ac:dyDescent="0.2">
      <c r="A80" s="264"/>
      <c r="B80" s="2200" t="s">
        <v>2388</v>
      </c>
      <c r="C80" s="2201"/>
      <c r="D80" s="2201"/>
      <c r="E80" s="2201"/>
      <c r="F80" s="2201"/>
      <c r="G80" s="2202"/>
      <c r="H80" s="1725">
        <f ca="1">IFERROR(H81+H82,"")</f>
        <v>225772.80000000002</v>
      </c>
      <c r="I80" s="264"/>
      <c r="J80" s="264"/>
      <c r="K80" s="264"/>
      <c r="L80" s="264"/>
      <c r="M80" s="1758" t="s">
        <v>2404</v>
      </c>
      <c r="N80" s="2287"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1 395 085 рублей),</v>
      </c>
      <c r="O80" s="2287"/>
      <c r="P80" s="2287"/>
      <c r="Q80" s="2287"/>
      <c r="R80" s="2287"/>
      <c r="S80" s="264"/>
      <c r="T80" s="264"/>
      <c r="U80" s="264" t="str">
        <f>IF(IFERROR(5*10^6/H22,0)=V80,"максимум","четверти")</f>
        <v>четверти</v>
      </c>
      <c r="V80" s="264">
        <f>MIN(0.25,IFERROR(5*10^6/H$22,0.25))</f>
        <v>0.25</v>
      </c>
    </row>
    <row r="81" spans="1:22" ht="30" customHeight="1" x14ac:dyDescent="0.2">
      <c r="A81" s="264"/>
      <c r="B81" s="2178"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79"/>
      <c r="D81" s="2179"/>
      <c r="E81" s="2179"/>
      <c r="F81" s="2179"/>
      <c r="G81" s="2180"/>
      <c r="H81" s="1716">
        <f ca="1">IFERROR(
                 IF('Ввод исходных данных'!D42=INDEX(SposobRascheta,3),
                              0,
                              MIN(5*10^6,
                                          0.8*H18,
                                          H16,
                                          H22*H33*IF(H33&lt;0.1,
                                                                           0,
                                                                           MIN(4,
                                                                                       10*H33+1)))),"")</f>
        <v>225772.80000000002</v>
      </c>
      <c r="I81" s="2283" t="str">
        <f>IF(H16&gt;0,"","← Укажите стоимость капитального ремонта"&amp;CHAR(10)&amp;"     и мероприятий по энергосбережению!")</f>
        <v/>
      </c>
      <c r="J81" s="2284"/>
      <c r="K81" s="2284"/>
      <c r="L81" s="1555"/>
      <c r="M81" s="2288" t="s">
        <v>2389</v>
      </c>
      <c r="N81" s="2288"/>
      <c r="O81" s="2288"/>
      <c r="P81" s="2288"/>
      <c r="Q81" s="2289">
        <f>IF(INDEX(U79:V88,MATCH(M80,U79:U88,0),2)&gt;=1.2,INDEX(U79:V88,MATCH(M80,U79:U88,0),2)/4,(SQRT(1+40*INDEX(U79:V88,MATCH(M80,U79:U88,0),2))-1)/20)</f>
        <v>0.17912878474779198</v>
      </c>
      <c r="R81" s="2289"/>
      <c r="S81" s="264"/>
      <c r="T81" s="264"/>
      <c r="U81" s="264" t="str">
        <f>IF(IFERROR(5*10^6/H22,0)=V81,"максимум","трети")</f>
        <v>трети</v>
      </c>
      <c r="V81" s="264">
        <f>MIN(0.33,IFERROR(5*10^6/H$22,0.33))</f>
        <v>0.33</v>
      </c>
    </row>
    <row r="82" spans="1:22" ht="30" customHeight="1" x14ac:dyDescent="0.2">
      <c r="A82" s="264"/>
      <c r="B82" s="2181" t="s">
        <v>2391</v>
      </c>
      <c r="C82" s="2182"/>
      <c r="D82" s="2182"/>
      <c r="E82" s="2182"/>
      <c r="F82" s="2182"/>
      <c r="G82" s="2183"/>
      <c r="H82" s="1726">
        <f ca="1">IFERROR(MIN(5*10^6-H81,0.8*H18-H81,I120),"")</f>
        <v>0</v>
      </c>
      <c r="I82" s="2285"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v>
      </c>
      <c r="J82" s="2285"/>
      <c r="K82" s="2285"/>
      <c r="L82" s="2285"/>
      <c r="M82" s="2291" t="s">
        <v>2361</v>
      </c>
      <c r="N82" s="2291"/>
      <c r="O82" s="2291"/>
      <c r="P82" s="2291"/>
      <c r="Q82" s="2289" t="str">
        <f>TEXT(INDEX(U79:V88,MATCH(M80,U79:U88,0),2)*H22/0.8,"# ###")&amp;CHAR(32)&amp;"руб."</f>
        <v>1 743 857 руб.</v>
      </c>
      <c r="R82" s="2289"/>
      <c r="S82" s="264"/>
      <c r="T82" s="264"/>
      <c r="U82" s="264" t="str">
        <f>IF(IFERROR(5*10^6/H22,0)=V82,"максимум","половины")</f>
        <v>половины</v>
      </c>
      <c r="V82" s="264">
        <f>MIN(0.5,IFERROR(5*10^6/H$22,0.5))</f>
        <v>0.5</v>
      </c>
    </row>
    <row r="83" spans="1:22" ht="15" customHeight="1" x14ac:dyDescent="0.2">
      <c r="A83" s="264"/>
      <c r="B83" s="2227" t="s">
        <v>2398</v>
      </c>
      <c r="C83" s="2227"/>
      <c r="D83" s="2227"/>
      <c r="E83" s="2227"/>
      <c r="F83" s="2227"/>
      <c r="G83" s="2227"/>
      <c r="H83" s="1705"/>
      <c r="I83" s="2285"/>
      <c r="J83" s="2285"/>
      <c r="K83" s="2285"/>
      <c r="L83" s="2285"/>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285"/>
      <c r="J84" s="2285"/>
      <c r="K84" s="2285"/>
      <c r="L84" s="2285"/>
      <c r="M84" s="264"/>
      <c r="N84" s="264"/>
      <c r="O84" s="264"/>
      <c r="P84" s="264"/>
      <c r="Q84" s="264"/>
      <c r="R84" s="264"/>
      <c r="S84" s="264"/>
      <c r="T84" s="264"/>
      <c r="U84" s="264" t="str">
        <f>IF(IFERROR(5*10^6/H22,0)=V84,"максимум","трёх четвертей")</f>
        <v>трёх четвертей</v>
      </c>
      <c r="V84" s="264">
        <f>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IF(IFERROR(5*10^6/H22,0)=V85,"максимум","100%")</f>
        <v>100%</v>
      </c>
      <c r="V85" s="264">
        <f>MIN(1,IFERROR(5*10^6/H$22,1))</f>
        <v>1</v>
      </c>
    </row>
    <row r="86" spans="1:22" ht="15" customHeight="1" x14ac:dyDescent="0.2">
      <c r="A86" s="264"/>
      <c r="B86" s="2221" t="s">
        <v>2324</v>
      </c>
      <c r="C86" s="2222"/>
      <c r="D86" s="2222"/>
      <c r="E86" s="2222"/>
      <c r="F86" s="2222"/>
      <c r="G86" s="2223"/>
      <c r="H86" s="1725" t="str">
        <f>IFERROR(MAX(0,IF(ISBLANK(H9),"",H18-H9)),"")</f>
        <v/>
      </c>
      <c r="I86" s="264"/>
      <c r="J86" s="264"/>
      <c r="K86" s="264"/>
      <c r="L86" s="264"/>
      <c r="M86" s="264"/>
      <c r="N86" s="264"/>
      <c r="O86" s="264"/>
      <c r="P86" s="264"/>
      <c r="Q86" s="264"/>
      <c r="R86" s="264"/>
      <c r="S86" s="264"/>
      <c r="T86" s="264"/>
      <c r="U86" s="1670" t="str">
        <f>IF(IFERROR(5*10^6/H22,0)=V86,"максимум","150%")</f>
        <v>150%</v>
      </c>
      <c r="V86" s="264">
        <f>MIN(1.5,IFERROR(5*10^6/H$22,1.5))</f>
        <v>1.5</v>
      </c>
    </row>
    <row r="87" spans="1:22" ht="30" customHeight="1" x14ac:dyDescent="0.2">
      <c r="A87" s="264"/>
      <c r="B87" s="2178" t="s">
        <v>2367</v>
      </c>
      <c r="C87" s="2179"/>
      <c r="D87" s="2179"/>
      <c r="E87" s="2179"/>
      <c r="F87" s="2179"/>
      <c r="G87" s="2180"/>
      <c r="H87" s="1716">
        <f>-PV(H89/12,H93,H6*H5*H97*H98)</f>
        <v>0</v>
      </c>
      <c r="I87" s="264"/>
      <c r="J87" s="264"/>
      <c r="K87" s="264"/>
      <c r="L87" s="264"/>
      <c r="M87" s="264"/>
      <c r="N87" s="264"/>
      <c r="O87" s="264"/>
      <c r="P87" s="1669"/>
      <c r="Q87" s="264"/>
      <c r="R87" s="264"/>
      <c r="S87" s="264"/>
      <c r="T87" s="264"/>
      <c r="U87" s="1670" t="str">
        <f>IF(IFERROR(5*10^6/H22,0)=V87,"максимум","200%")</f>
        <v>максимум</v>
      </c>
      <c r="V87" s="264">
        <f>MIN(2,IFERROR(5*10^6/H$22,2))</f>
        <v>1.7920049398551534</v>
      </c>
    </row>
    <row r="88" spans="1:22" ht="15" customHeight="1" x14ac:dyDescent="0.2">
      <c r="A88" s="264"/>
      <c r="B88" s="2270" t="s">
        <v>2317</v>
      </c>
      <c r="C88" s="2271"/>
      <c r="D88" s="2271"/>
      <c r="E88" s="2271"/>
      <c r="F88" s="2271"/>
      <c r="G88" s="2272"/>
      <c r="H88" s="1776">
        <f>MIN(H86,H87*2)</f>
        <v>0</v>
      </c>
      <c r="I88" s="264"/>
      <c r="J88" s="264"/>
      <c r="K88" s="264"/>
      <c r="L88" s="264"/>
      <c r="M88" s="264"/>
      <c r="N88" s="264"/>
      <c r="O88" s="264"/>
      <c r="P88" s="1669"/>
      <c r="Q88" s="264"/>
      <c r="R88" s="264"/>
      <c r="S88" s="264"/>
      <c r="T88" s="264"/>
      <c r="U88" s="1670" t="str">
        <f>IF(IFERROR(5*10^6/H22,0)=V88,"максимум","300%")</f>
        <v>максимум</v>
      </c>
      <c r="V88" s="264">
        <f>MIN(3,IFERROR(5*10^6/H$22,3))</f>
        <v>1.7920049398551534</v>
      </c>
    </row>
    <row r="89" spans="1:22" ht="15" customHeight="1" x14ac:dyDescent="0.2">
      <c r="A89" s="264"/>
      <c r="B89" s="2270" t="s">
        <v>2318</v>
      </c>
      <c r="C89" s="2271"/>
      <c r="D89" s="2271"/>
      <c r="E89" s="2271"/>
      <c r="F89" s="2271"/>
      <c r="G89" s="2272"/>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70" t="s">
        <v>2319</v>
      </c>
      <c r="C90" s="2271"/>
      <c r="D90" s="2271"/>
      <c r="E90" s="2271"/>
      <c r="F90" s="2271"/>
      <c r="G90" s="2272"/>
      <c r="H90" s="1753">
        <v>7.7499999999999999E-2</v>
      </c>
      <c r="I90" s="2240" t="str">
        <f>IF(IFERROR(H90,0)=0,"&lt; Размер ключевой ставки на сегодня можно узнать на сайте ЦБ РФ: www.cbr.ru","")</f>
        <v/>
      </c>
      <c r="J90" s="2241"/>
      <c r="K90" s="2241"/>
      <c r="L90" s="264"/>
      <c r="M90" s="264"/>
      <c r="N90" s="264"/>
      <c r="O90" s="264"/>
      <c r="P90" s="1669"/>
      <c r="Q90" s="264"/>
      <c r="R90" s="264"/>
      <c r="S90" s="264"/>
      <c r="T90" s="264"/>
      <c r="U90" s="264"/>
      <c r="V90" s="264"/>
    </row>
    <row r="91" spans="1:22" ht="15" customHeight="1" x14ac:dyDescent="0.2">
      <c r="A91" s="264"/>
      <c r="B91" s="2270" t="s">
        <v>2294</v>
      </c>
      <c r="C91" s="2271"/>
      <c r="D91" s="2271"/>
      <c r="E91" s="2271"/>
      <c r="F91" s="2271"/>
      <c r="G91" s="2272"/>
      <c r="H91" s="1754">
        <f ca="1">TODAY()+30</f>
        <v>44423</v>
      </c>
      <c r="I91" s="2240"/>
      <c r="J91" s="2241"/>
      <c r="K91" s="2241"/>
      <c r="L91" s="264"/>
      <c r="M91" s="264"/>
      <c r="N91" s="264"/>
      <c r="O91" s="264"/>
      <c r="P91" s="1669"/>
      <c r="Q91" s="264"/>
      <c r="R91" s="264"/>
      <c r="S91" s="264"/>
      <c r="T91" s="264"/>
      <c r="U91" s="264"/>
      <c r="V91" s="264"/>
    </row>
    <row r="92" spans="1:22" ht="15" customHeight="1" x14ac:dyDescent="0.2">
      <c r="A92" s="264"/>
      <c r="B92" s="2270" t="s">
        <v>2295</v>
      </c>
      <c r="C92" s="2271"/>
      <c r="D92" s="2271"/>
      <c r="E92" s="2271"/>
      <c r="F92" s="2271"/>
      <c r="G92" s="2272"/>
      <c r="H92" s="1755">
        <f ca="1">DAY(H91)</f>
        <v>15</v>
      </c>
      <c r="I92" s="264"/>
      <c r="J92" s="264"/>
      <c r="K92" s="264"/>
      <c r="L92" s="264"/>
      <c r="M92" s="264"/>
      <c r="N92" s="264"/>
      <c r="O92" s="264"/>
      <c r="P92" s="1669"/>
      <c r="Q92" s="264"/>
      <c r="R92" s="264"/>
      <c r="S92" s="264"/>
      <c r="T92" s="264"/>
      <c r="U92" s="264"/>
      <c r="V92" s="264"/>
    </row>
    <row r="93" spans="1:22" ht="15" customHeight="1" x14ac:dyDescent="0.2">
      <c r="A93" s="264"/>
      <c r="B93" s="2270" t="s">
        <v>2320</v>
      </c>
      <c r="C93" s="2271"/>
      <c r="D93" s="2271"/>
      <c r="E93" s="2271"/>
      <c r="F93" s="2271"/>
      <c r="G93" s="2272"/>
      <c r="H93" s="1755">
        <v>60</v>
      </c>
      <c r="I93" s="264"/>
      <c r="J93" s="264"/>
      <c r="K93" s="264"/>
      <c r="L93" s="264"/>
      <c r="M93" s="264"/>
      <c r="N93" s="264"/>
      <c r="O93" s="264"/>
      <c r="P93" s="1669"/>
      <c r="Q93" s="264"/>
      <c r="R93" s="264"/>
      <c r="S93" s="264"/>
      <c r="T93" s="264"/>
      <c r="U93" s="264"/>
      <c r="V93" s="264"/>
    </row>
    <row r="94" spans="1:22" ht="15" customHeight="1" x14ac:dyDescent="0.2">
      <c r="A94" s="264"/>
      <c r="B94" s="2270" t="s">
        <v>2321</v>
      </c>
      <c r="C94" s="2271"/>
      <c r="D94" s="2271"/>
      <c r="E94" s="2271"/>
      <c r="F94" s="2271"/>
      <c r="G94" s="2272"/>
      <c r="H94" s="1755">
        <v>1</v>
      </c>
      <c r="I94" s="264"/>
      <c r="J94" s="264"/>
      <c r="K94" s="264"/>
      <c r="L94" s="264"/>
      <c r="M94" s="264"/>
      <c r="N94" s="264"/>
      <c r="O94" s="264"/>
      <c r="P94" s="1669"/>
      <c r="Q94" s="264"/>
      <c r="R94" s="264"/>
      <c r="S94" s="264"/>
      <c r="T94" s="264"/>
      <c r="U94" s="264"/>
      <c r="V94" s="264"/>
    </row>
    <row r="95" spans="1:22" ht="15" customHeight="1" x14ac:dyDescent="0.2">
      <c r="A95" s="264"/>
      <c r="B95" s="2270" t="s">
        <v>2322</v>
      </c>
      <c r="C95" s="2271"/>
      <c r="D95" s="2271"/>
      <c r="E95" s="2271"/>
      <c r="F95" s="2271"/>
      <c r="G95" s="2272"/>
      <c r="H95" s="1755">
        <v>3</v>
      </c>
      <c r="I95" s="264"/>
      <c r="J95" s="264"/>
      <c r="K95" s="264"/>
      <c r="L95" s="264"/>
      <c r="M95" s="264"/>
      <c r="N95" s="264"/>
      <c r="O95" s="264"/>
      <c r="P95" s="1669"/>
      <c r="Q95" s="264"/>
      <c r="R95" s="264"/>
      <c r="S95" s="264"/>
      <c r="T95" s="264"/>
      <c r="U95" s="264" t="s">
        <v>2296</v>
      </c>
      <c r="V95" s="264"/>
    </row>
    <row r="96" spans="1:22" ht="15" customHeight="1" x14ac:dyDescent="0.2">
      <c r="A96" s="264"/>
      <c r="B96" s="2270" t="s">
        <v>2323</v>
      </c>
      <c r="C96" s="2271"/>
      <c r="D96" s="2271"/>
      <c r="E96" s="2271"/>
      <c r="F96" s="2271"/>
      <c r="G96" s="2272"/>
      <c r="H96" s="1756" t="s">
        <v>2298</v>
      </c>
      <c r="I96" s="264"/>
      <c r="J96" s="264"/>
      <c r="K96" s="264"/>
      <c r="L96" s="264"/>
      <c r="M96" s="264"/>
      <c r="N96" s="264"/>
      <c r="O96" s="264"/>
      <c r="P96" s="1669"/>
      <c r="Q96" s="264"/>
      <c r="R96" s="264"/>
      <c r="S96" s="264"/>
      <c r="T96" s="264"/>
      <c r="U96" s="264" t="s">
        <v>2297</v>
      </c>
      <c r="V96" s="264">
        <v>1</v>
      </c>
    </row>
    <row r="97" spans="1:22" ht="15" customHeight="1" x14ac:dyDescent="0.2">
      <c r="A97" s="264"/>
      <c r="B97" s="2270" t="s">
        <v>2301</v>
      </c>
      <c r="C97" s="2271"/>
      <c r="D97" s="2271"/>
      <c r="E97" s="2271"/>
      <c r="F97" s="2271"/>
      <c r="G97" s="2272"/>
      <c r="H97" s="1752">
        <v>0.95</v>
      </c>
      <c r="I97" s="264"/>
      <c r="J97" s="264"/>
      <c r="K97" s="264"/>
      <c r="L97" s="264"/>
      <c r="M97" s="264"/>
      <c r="N97" s="264"/>
      <c r="O97" s="264"/>
      <c r="P97" s="1669"/>
      <c r="Q97" s="264"/>
      <c r="R97" s="264"/>
      <c r="S97" s="264"/>
      <c r="T97" s="264"/>
      <c r="U97" s="264" t="s">
        <v>2298</v>
      </c>
      <c r="V97" s="264">
        <v>3</v>
      </c>
    </row>
    <row r="98" spans="1:22" ht="15" customHeight="1" x14ac:dyDescent="0.2">
      <c r="A98" s="264"/>
      <c r="B98" s="2273" t="s">
        <v>2302</v>
      </c>
      <c r="C98" s="2274"/>
      <c r="D98" s="2274"/>
      <c r="E98" s="2274"/>
      <c r="F98" s="2274"/>
      <c r="G98" s="2275"/>
      <c r="H98" s="1757">
        <v>0.8</v>
      </c>
      <c r="I98" s="264"/>
      <c r="J98" s="264"/>
      <c r="K98" s="264"/>
      <c r="L98" s="264"/>
      <c r="M98" s="264"/>
      <c r="N98" s="264"/>
      <c r="O98" s="264"/>
      <c r="P98" s="1669"/>
      <c r="Q98" s="264"/>
      <c r="R98" s="264"/>
      <c r="S98" s="264"/>
      <c r="T98" s="264"/>
      <c r="U98" s="264" t="s">
        <v>2299</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2300</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33" t="s">
        <v>2303</v>
      </c>
      <c r="C118" s="2233"/>
      <c r="D118" s="2234" t="s">
        <v>2304</v>
      </c>
      <c r="E118" s="2235"/>
      <c r="F118" s="2235"/>
      <c r="G118" s="2235"/>
      <c r="H118" s="2236"/>
      <c r="I118" s="2237" t="s">
        <v>2359</v>
      </c>
      <c r="J118" s="2237" t="s">
        <v>2360</v>
      </c>
      <c r="K118" s="2239" t="s">
        <v>2305</v>
      </c>
      <c r="L118" s="2239"/>
      <c r="M118" s="2239"/>
      <c r="N118" s="2239"/>
      <c r="O118" s="264"/>
      <c r="P118" s="1669"/>
      <c r="Q118" s="264"/>
      <c r="R118" s="264"/>
      <c r="S118" s="264"/>
      <c r="T118" s="264"/>
      <c r="U118" s="264"/>
      <c r="V118" s="264"/>
    </row>
    <row r="119" spans="1:22" ht="37.5" customHeight="1" x14ac:dyDescent="0.2">
      <c r="A119" s="264"/>
      <c r="B119" s="2239" t="s">
        <v>2147</v>
      </c>
      <c r="C119" s="2239" t="s">
        <v>2306</v>
      </c>
      <c r="D119" s="2237" t="s">
        <v>2307</v>
      </c>
      <c r="E119" s="1727" t="s">
        <v>2308</v>
      </c>
      <c r="F119" s="1727" t="s">
        <v>2365</v>
      </c>
      <c r="G119" s="1727" t="s">
        <v>2364</v>
      </c>
      <c r="H119" s="2237" t="s">
        <v>2362</v>
      </c>
      <c r="I119" s="2238"/>
      <c r="J119" s="2238"/>
      <c r="K119" s="2237" t="s">
        <v>2309</v>
      </c>
      <c r="L119" s="2239" t="s">
        <v>2310</v>
      </c>
      <c r="M119" s="2239"/>
      <c r="N119" s="2231" t="s">
        <v>2363</v>
      </c>
      <c r="O119" s="264"/>
      <c r="P119" s="1669"/>
      <c r="Q119" s="264"/>
      <c r="R119" s="264"/>
      <c r="S119" s="264"/>
      <c r="T119" s="264"/>
      <c r="U119" s="264"/>
      <c r="V119" s="264"/>
    </row>
    <row r="120" spans="1:22" ht="22.5" x14ac:dyDescent="0.2">
      <c r="A120" s="264"/>
      <c r="B120" s="2239"/>
      <c r="C120" s="2239"/>
      <c r="D120" s="2238"/>
      <c r="E120" s="1728">
        <f ca="1">SUM(E121:E220)</f>
        <v>0</v>
      </c>
      <c r="F120" s="1728">
        <f ca="1">SUM(F121:F220)</f>
        <v>0</v>
      </c>
      <c r="G120" s="1728">
        <f>SUMIF(G121:G220,"&lt;&gt;"&amp;"#знач!")</f>
        <v>0</v>
      </c>
      <c r="H120" s="2238"/>
      <c r="I120" s="1728">
        <f ca="1">SUM(I121:I220)</f>
        <v>0</v>
      </c>
      <c r="J120" s="1728">
        <f ca="1">SUM(J121:J220)</f>
        <v>0</v>
      </c>
      <c r="K120" s="2238"/>
      <c r="L120" s="1729" t="s">
        <v>2311</v>
      </c>
      <c r="M120" s="1729" t="s">
        <v>2312</v>
      </c>
      <c r="N120" s="2232"/>
      <c r="O120" s="264"/>
      <c r="P120" s="1669"/>
      <c r="Q120" s="1690" t="s">
        <v>2358</v>
      </c>
      <c r="R120" s="264"/>
      <c r="S120" s="264"/>
      <c r="T120" s="264"/>
      <c r="U120" s="264"/>
      <c r="V120" s="264"/>
    </row>
    <row r="121" spans="1:22" x14ac:dyDescent="0.2">
      <c r="A121" s="264"/>
      <c r="B121" s="1730">
        <v>1</v>
      </c>
      <c r="C121" s="1731">
        <f ca="1">IF(DAY(H91)&lt;H92,
             DATEVALUE(H92&amp;"."&amp;TEXT(H91,"ММММ")&amp;"."&amp;YEAR(H91)),
             DATEVALUE(H92&amp;"."&amp;TEXT(EDATE(H91,1),"ММММ")&amp;"."&amp;YEAR(H91)))</f>
        <v>44454</v>
      </c>
      <c r="D121" s="1732">
        <f ca="1">IFERROR(IF(H$94&gt;=B121,
        E121,
        IF(C121="",
                "",
                IF(C122="",
                        E121+H88,
                        ROUND((H$88*H$89/12)/(1-POWER(1+H$89/12,-COUNTIF(C$121:C$220,"&gt;0")+B121-1)),
                               0)))),"")</f>
        <v>0</v>
      </c>
      <c r="E121" s="1733">
        <f ca="1">IFERROR(
        ROUND(H88*(H$89*(DATEVALUE("01."&amp;MONTH(C121)&amp;"."&amp;YEAR(C121))-H91-1)/(DATEVALUE("01.01."&amp;YEAR(H91)+1)-DATEVALUE("01.01."&amp;YEAR(H91)))+
                                     H$89*(C121-DATEVALUE("01."&amp;MONTH(C121)&amp;"."&amp;YEAR(C121))+1)/(DATEVALUE("01.01."&amp;YEAR(C121)+1)-DATEVALUE("01.01."&amp;YEAR(C121)))),
               2),
        "")</f>
        <v>0</v>
      </c>
      <c r="F121" s="1733">
        <f ca="1">IFERROR(D121-E121,"")</f>
        <v>0</v>
      </c>
      <c r="G121" s="1750"/>
      <c r="H121" s="1734" t="str">
        <f>IF(OR(H88=0,H88=""),
        "",
        MAX(0,H88-F121-G121))</f>
        <v/>
      </c>
      <c r="I121" s="1735">
        <f t="shared" ref="I121:I152" ca="1" si="2">IFERROR(
        IF(C121="",
                "",
                IF(C121&gt;INDEX(C$121:C$220,60),
                        0,
                        ROUND(E121*MIN(1,H$90/H$89),2))),
        "")</f>
        <v>0</v>
      </c>
      <c r="J121" s="1736">
        <f t="shared" ref="J121:J184" ca="1" si="3">IFERROR(E121-I121,"")</f>
        <v>0</v>
      </c>
      <c r="K121" s="1737">
        <f ca="1">IFERROR(ROUNDUP(D121/(H$5*H$97*H$98),2),"")</f>
        <v>0</v>
      </c>
      <c r="L121" s="1733">
        <f t="shared" ref="L121:L152" ca="1" si="4">IFERROR(
        MAX(0,ROUNDUP((D121-IF(B121=1,
                        0,
                        IFERROR(INDEX(I$121:I$220,(B121-H$95)^2/(B121-H$95)),0)))/
                       (H$5*H$97*H$98),
                2)),
        K121)</f>
        <v>0</v>
      </c>
      <c r="M121" s="1733"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6" t="str">
        <f ca="1">IFERROR(ROUND(M121*H$5*H$97*H$98-D121,2),"")</f>
        <v/>
      </c>
      <c r="O121" s="264"/>
      <c r="P121" s="1669"/>
      <c r="Q121" s="1690">
        <f t="shared" ref="Q121:Q167" ca="1" si="5">IFERROR(IF(K121&gt;=0,H$6,""),"")</f>
        <v>0</v>
      </c>
      <c r="R121" s="264"/>
      <c r="S121" s="264"/>
      <c r="T121" s="264"/>
      <c r="U121" s="264"/>
      <c r="V121" s="264"/>
    </row>
    <row r="122" spans="1:22" x14ac:dyDescent="0.2">
      <c r="A122" s="264"/>
      <c r="B122" s="1738">
        <v>2</v>
      </c>
      <c r="C122" s="1739">
        <f t="shared" ref="C122:C153" ca="1" si="6">IFERROR(
        IF(EDATE(C121,1)&gt;EDATE(H$91,H$93),
                "",
                EDATE(C121,1)),
        "")</f>
        <v>44484</v>
      </c>
      <c r="D122" s="1732" t="str">
        <f ca="1">IFERROR(IF(H$94&gt;=B122,
        E122,
        IF(C122="",
                "",
                IF(C123="",
                        E122+H121,
                        IF(AND(G121=0,H$94&lt;B122-1),
                                    $D121,
                                    ROUND((H121*H$89/12)/(1-POWER(1+H$89/12,-COUNTIF(C$121:C$220,"&gt;0")+B122-1)),0))))),"")</f>
        <v/>
      </c>
      <c r="E122" s="1740" t="str">
        <f ca="1">IFERROR(
        ROUND(H121*(H$89*(DATEVALUE("01."&amp;MONTH(C122)&amp;"."&amp;YEAR(C122))-C121-1)/(DATEVALUE("01.01."&amp;YEAR(C121)+1)-DATEVALUE("01.01."&amp;YEAR(C121)))+
                                     H$89*(C122-DATEVALUE("01."&amp;MONTH(C122)&amp;"."&amp;YEAR(C122))+1)/(DATEVALUE("01.01."&amp;YEAR(C122)+1)-DATEVALUE("01.01."&amp;YEAR(C122)))),
               2),
        "")</f>
        <v/>
      </c>
      <c r="F122" s="1740" t="str">
        <f ca="1">IFERROR(D122-E122,"")</f>
        <v/>
      </c>
      <c r="G122" s="1750"/>
      <c r="H122" s="1734" t="str">
        <f t="shared" ref="H122:H180" si="7">IF(OR(H121=0,H121=""),
        "",
        MAX(0,H121-F122-G122))</f>
        <v/>
      </c>
      <c r="I122" s="1735" t="str">
        <f t="shared" ca="1" si="2"/>
        <v/>
      </c>
      <c r="J122" s="1734" t="str">
        <f t="shared" ca="1" si="3"/>
        <v/>
      </c>
      <c r="K122" s="1732" t="str">
        <f t="shared" ref="K122:K152" ca="1" si="8">IFERROR(ROUNDUP(D122/(H$5*H$97*H$98),2),"")</f>
        <v/>
      </c>
      <c r="L122" s="1740" t="str">
        <f t="shared" ca="1" si="4"/>
        <v/>
      </c>
      <c r="M122" s="1740"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ca="1" si="9">IFERROR(ROUND(M122*H$5*H$97*H$98-D122+IFERROR(INDEX(I$121:I$220,(B122-H$95)^2/(B122-H$95)),0)+N121,2),"")</f>
        <v/>
      </c>
      <c r="O122" s="264"/>
      <c r="P122" s="1669"/>
      <c r="Q122" s="1690">
        <f t="shared" ca="1" si="5"/>
        <v>0</v>
      </c>
      <c r="R122" s="264"/>
      <c r="S122" s="264"/>
      <c r="T122" s="264"/>
      <c r="U122" s="264"/>
      <c r="V122" s="264"/>
    </row>
    <row r="123" spans="1:22" x14ac:dyDescent="0.2">
      <c r="A123" s="264"/>
      <c r="B123" s="1738">
        <v>3</v>
      </c>
      <c r="C123" s="1739">
        <f t="shared" ca="1" si="6"/>
        <v>44515</v>
      </c>
      <c r="D123" s="1732" t="str">
        <f t="shared" ref="D123:D180" ca="1" si="10">IFERROR(IF(H$94&gt;=B123,
        E123,
        IF(C123="",
                "",
                IF(C124="",
                        E123+H122,
                        IF(AND(G122=0,H$94&lt;B123-1),
                                    $D122,
                                    ROUND((H122*H$89/12)/(1-POWER(1+H$89/12,-COUNTIF(C$121:C$220,"&gt;0")+B123-1)),0))))),"")</f>
        <v/>
      </c>
      <c r="E123" s="1740" t="str">
        <f t="shared" ref="E123:E180" ca="1" si="11">IFERROR(
        ROUND(H122*(H$89*(DATEVALUE("01."&amp;MONTH(C123)&amp;"."&amp;YEAR(C123))-C122-1)/(DATEVALUE("01.01."&amp;YEAR(C122)+1)-DATEVALUE("01.01."&amp;YEAR(C122)))+
                                     H$89*(C123-DATEVALUE("01."&amp;MONTH(C123)&amp;"."&amp;YEAR(C123))+1)/(DATEVALUE("01.01."&amp;YEAR(C123)+1)-DATEVALUE("01.01."&amp;YEAR(C123)))),
               2),
        "")</f>
        <v/>
      </c>
      <c r="F123" s="1740" t="str">
        <f t="shared" ref="F123:F184" ca="1" si="12">IFERROR(D123-E123,"")</f>
        <v/>
      </c>
      <c r="G123" s="1750"/>
      <c r="H123" s="1734" t="str">
        <f t="shared" si="7"/>
        <v/>
      </c>
      <c r="I123" s="1735" t="str">
        <f t="shared" ca="1" si="2"/>
        <v/>
      </c>
      <c r="J123" s="1734" t="str">
        <f ca="1">IFERROR(E123-I123,"")</f>
        <v/>
      </c>
      <c r="K123" s="1732" t="str">
        <f ca="1">IFERROR(ROUNDUP(D123/(H$5*H$97*H$98),2),"")</f>
        <v/>
      </c>
      <c r="L123" s="1740" t="str">
        <f t="shared" ca="1" si="4"/>
        <v/>
      </c>
      <c r="M123" s="1740"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ca="1" si="9"/>
        <v/>
      </c>
      <c r="O123" s="264"/>
      <c r="P123" s="1669"/>
      <c r="Q123" s="1690">
        <f t="shared" ca="1" si="5"/>
        <v>0</v>
      </c>
      <c r="R123" s="264"/>
      <c r="S123" s="264"/>
      <c r="T123" s="264"/>
      <c r="U123" s="264"/>
      <c r="V123" s="264"/>
    </row>
    <row r="124" spans="1:22" x14ac:dyDescent="0.2">
      <c r="A124" s="264"/>
      <c r="B124" s="1738">
        <v>4</v>
      </c>
      <c r="C124" s="1739">
        <f t="shared" ca="1" si="6"/>
        <v>44545</v>
      </c>
      <c r="D124" s="1732" t="str">
        <f t="shared" ca="1" si="10"/>
        <v/>
      </c>
      <c r="E124" s="1740" t="str">
        <f t="shared" ca="1" si="11"/>
        <v/>
      </c>
      <c r="F124" s="1740" t="str">
        <f t="shared" ca="1" si="12"/>
        <v/>
      </c>
      <c r="G124" s="1750"/>
      <c r="H124" s="1734" t="str">
        <f t="shared" si="7"/>
        <v/>
      </c>
      <c r="I124" s="1735" t="str">
        <f t="shared" ca="1" si="2"/>
        <v/>
      </c>
      <c r="J124" s="1734" t="str">
        <f t="shared" ca="1" si="3"/>
        <v/>
      </c>
      <c r="K124" s="1732" t="str">
        <f t="shared" ca="1" si="8"/>
        <v/>
      </c>
      <c r="L124" s="1740" t="str">
        <f t="shared" ca="1" si="4"/>
        <v/>
      </c>
      <c r="M124" s="1740" t="str">
        <f t="shared" ca="1" si="13"/>
        <v/>
      </c>
      <c r="N124" s="1734" t="str">
        <f t="shared" ca="1" si="9"/>
        <v/>
      </c>
      <c r="O124" s="264"/>
      <c r="P124" s="1669"/>
      <c r="Q124" s="1690">
        <f t="shared" ca="1" si="5"/>
        <v>0</v>
      </c>
      <c r="R124" s="264"/>
      <c r="S124" s="264"/>
      <c r="T124" s="264"/>
      <c r="U124" s="264"/>
      <c r="V124" s="264"/>
    </row>
    <row r="125" spans="1:22" x14ac:dyDescent="0.2">
      <c r="A125" s="264"/>
      <c r="B125" s="1738">
        <v>5</v>
      </c>
      <c r="C125" s="1739">
        <f t="shared" ca="1" si="6"/>
        <v>44576</v>
      </c>
      <c r="D125" s="1732" t="str">
        <f t="shared" ca="1" si="10"/>
        <v/>
      </c>
      <c r="E125" s="1740" t="str">
        <f t="shared" ca="1" si="11"/>
        <v/>
      </c>
      <c r="F125" s="1740" t="str">
        <f t="shared" ca="1" si="12"/>
        <v/>
      </c>
      <c r="G125" s="1750"/>
      <c r="H125" s="1734" t="str">
        <f t="shared" si="7"/>
        <v/>
      </c>
      <c r="I125" s="1735" t="str">
        <f t="shared" ca="1" si="2"/>
        <v/>
      </c>
      <c r="J125" s="1734" t="str">
        <f t="shared" ca="1" si="3"/>
        <v/>
      </c>
      <c r="K125" s="1732" t="str">
        <f t="shared" ca="1" si="8"/>
        <v/>
      </c>
      <c r="L125" s="1740" t="str">
        <f t="shared" ca="1" si="4"/>
        <v/>
      </c>
      <c r="M125" s="1740" t="str">
        <f t="shared" ca="1" si="13"/>
        <v/>
      </c>
      <c r="N125" s="1734" t="str">
        <f t="shared" ca="1" si="9"/>
        <v/>
      </c>
      <c r="O125" s="264"/>
      <c r="P125" s="1669"/>
      <c r="Q125" s="1690">
        <f t="shared" ca="1" si="5"/>
        <v>0</v>
      </c>
      <c r="R125" s="264"/>
      <c r="S125" s="264"/>
      <c r="T125" s="264"/>
      <c r="U125" s="264"/>
      <c r="V125" s="264"/>
    </row>
    <row r="126" spans="1:22" x14ac:dyDescent="0.2">
      <c r="A126" s="264"/>
      <c r="B126" s="1738">
        <v>6</v>
      </c>
      <c r="C126" s="1739">
        <f t="shared" ca="1" si="6"/>
        <v>44607</v>
      </c>
      <c r="D126" s="1732" t="str">
        <f t="shared" ca="1" si="10"/>
        <v/>
      </c>
      <c r="E126" s="1740" t="str">
        <f t="shared" ca="1" si="11"/>
        <v/>
      </c>
      <c r="F126" s="1740" t="str">
        <f t="shared" ca="1" si="12"/>
        <v/>
      </c>
      <c r="G126" s="1750"/>
      <c r="H126" s="1734" t="str">
        <f>IF(OR(H125=0,H125=""),
        "",
        MAX(0,H125-F126-G126))</f>
        <v/>
      </c>
      <c r="I126" s="1735" t="str">
        <f t="shared" ca="1" si="2"/>
        <v/>
      </c>
      <c r="J126" s="1734" t="str">
        <f t="shared" ca="1" si="3"/>
        <v/>
      </c>
      <c r="K126" s="1732" t="str">
        <f t="shared" ca="1" si="8"/>
        <v/>
      </c>
      <c r="L126" s="1740" t="str">
        <f t="shared" ca="1" si="4"/>
        <v/>
      </c>
      <c r="M126" s="1740" t="str">
        <f t="shared" ca="1" si="13"/>
        <v/>
      </c>
      <c r="N126" s="1734" t="str">
        <f t="shared" ca="1" si="9"/>
        <v/>
      </c>
      <c r="O126" s="264"/>
      <c r="P126" s="1669"/>
      <c r="Q126" s="1690">
        <f t="shared" ca="1" si="5"/>
        <v>0</v>
      </c>
      <c r="R126" s="264"/>
      <c r="S126" s="264"/>
      <c r="T126" s="264"/>
      <c r="U126" s="264"/>
      <c r="V126" s="264"/>
    </row>
    <row r="127" spans="1:22" x14ac:dyDescent="0.2">
      <c r="A127" s="264"/>
      <c r="B127" s="1738">
        <v>7</v>
      </c>
      <c r="C127" s="1739">
        <f t="shared" ca="1" si="6"/>
        <v>44635</v>
      </c>
      <c r="D127" s="1732" t="str">
        <f t="shared" ca="1" si="10"/>
        <v/>
      </c>
      <c r="E127" s="1740" t="str">
        <f ca="1">IFERROR(
        ROUND(H126*(H$89*(DATEVALUE("01."&amp;MONTH(C127)&amp;"."&amp;YEAR(C127))-C126-1)/(DATEVALUE("01.01."&amp;YEAR(C126)+1)-DATEVALUE("01.01."&amp;YEAR(C126)))+
                                     H$89*(C127-DATEVALUE("01."&amp;MONTH(C127)&amp;"."&amp;YEAR(C127))+1)/(DATEVALUE("01.01."&amp;YEAR(C127)+1)-DATEVALUE("01.01."&amp;YEAR(C127)))),
               2),
        "")</f>
        <v/>
      </c>
      <c r="F127" s="1740" t="str">
        <f ca="1">IFERROR(D127-E127,"")</f>
        <v/>
      </c>
      <c r="G127" s="1750"/>
      <c r="H127" s="1734" t="str">
        <f t="shared" si="7"/>
        <v/>
      </c>
      <c r="I127" s="1735" t="str">
        <f t="shared" ca="1" si="2"/>
        <v/>
      </c>
      <c r="J127" s="1734" t="str">
        <f t="shared" ca="1" si="3"/>
        <v/>
      </c>
      <c r="K127" s="1732" t="str">
        <f t="shared" ca="1" si="8"/>
        <v/>
      </c>
      <c r="L127" s="1740" t="str">
        <f t="shared" ca="1" si="4"/>
        <v/>
      </c>
      <c r="M127" s="1740" t="str">
        <f t="shared" ca="1" si="13"/>
        <v/>
      </c>
      <c r="N127" s="1734" t="str">
        <f t="shared" ca="1" si="9"/>
        <v/>
      </c>
      <c r="O127" s="264"/>
      <c r="P127" s="1669"/>
      <c r="Q127" s="1690">
        <f t="shared" ca="1" si="5"/>
        <v>0</v>
      </c>
      <c r="R127" s="264"/>
      <c r="S127" s="264"/>
      <c r="T127" s="264"/>
      <c r="U127" s="264"/>
      <c r="V127" s="264"/>
    </row>
    <row r="128" spans="1:22" x14ac:dyDescent="0.2">
      <c r="A128" s="264"/>
      <c r="B128" s="1738">
        <v>8</v>
      </c>
      <c r="C128" s="1739">
        <f t="shared" ca="1" si="6"/>
        <v>44666</v>
      </c>
      <c r="D128" s="1732" t="str">
        <f t="shared" ca="1" si="10"/>
        <v/>
      </c>
      <c r="E128" s="1740" t="str">
        <f t="shared" ca="1" si="11"/>
        <v/>
      </c>
      <c r="F128" s="1740" t="str">
        <f t="shared" ca="1" si="12"/>
        <v/>
      </c>
      <c r="G128" s="1750"/>
      <c r="H128" s="1734" t="str">
        <f t="shared" si="7"/>
        <v/>
      </c>
      <c r="I128" s="1735" t="str">
        <f t="shared" ca="1" si="2"/>
        <v/>
      </c>
      <c r="J128" s="1734" t="str">
        <f t="shared" ca="1" si="3"/>
        <v/>
      </c>
      <c r="K128" s="1732" t="str">
        <f t="shared" ca="1" si="8"/>
        <v/>
      </c>
      <c r="L128" s="1740" t="str">
        <f t="shared" ca="1" si="4"/>
        <v/>
      </c>
      <c r="M128" s="1740" t="str">
        <f t="shared" ca="1" si="13"/>
        <v/>
      </c>
      <c r="N128" s="1734" t="str">
        <f t="shared" ca="1" si="9"/>
        <v/>
      </c>
      <c r="O128" s="264"/>
      <c r="P128" s="1669"/>
      <c r="Q128" s="1690">
        <f t="shared" ca="1" si="5"/>
        <v>0</v>
      </c>
      <c r="R128" s="264"/>
      <c r="S128" s="264"/>
      <c r="T128" s="264"/>
      <c r="U128" s="264"/>
      <c r="V128" s="264"/>
    </row>
    <row r="129" spans="1:22" x14ac:dyDescent="0.2">
      <c r="A129" s="264"/>
      <c r="B129" s="1738">
        <v>9</v>
      </c>
      <c r="C129" s="1739">
        <f t="shared" ca="1" si="6"/>
        <v>44696</v>
      </c>
      <c r="D129" s="1732" t="str">
        <f t="shared" ca="1" si="10"/>
        <v/>
      </c>
      <c r="E129" s="1740" t="str">
        <f t="shared" ca="1" si="11"/>
        <v/>
      </c>
      <c r="F129" s="1740" t="str">
        <f t="shared" ca="1" si="12"/>
        <v/>
      </c>
      <c r="G129" s="1750"/>
      <c r="H129" s="1734" t="str">
        <f t="shared" si="7"/>
        <v/>
      </c>
      <c r="I129" s="1735" t="str">
        <f t="shared" ca="1" si="2"/>
        <v/>
      </c>
      <c r="J129" s="1734" t="str">
        <f t="shared" ca="1" si="3"/>
        <v/>
      </c>
      <c r="K129" s="1732" t="str">
        <f t="shared" ca="1" si="8"/>
        <v/>
      </c>
      <c r="L129" s="1740" t="str">
        <f t="shared" ca="1" si="4"/>
        <v/>
      </c>
      <c r="M129" s="1740" t="str">
        <f t="shared" ca="1" si="13"/>
        <v/>
      </c>
      <c r="N129" s="1734" t="str">
        <f t="shared" ca="1" si="9"/>
        <v/>
      </c>
      <c r="O129" s="264"/>
      <c r="P129" s="1669"/>
      <c r="Q129" s="1690">
        <f t="shared" ca="1" si="5"/>
        <v>0</v>
      </c>
      <c r="R129" s="264"/>
      <c r="S129" s="264"/>
      <c r="T129" s="264"/>
      <c r="U129" s="264"/>
      <c r="V129" s="264"/>
    </row>
    <row r="130" spans="1:22" x14ac:dyDescent="0.2">
      <c r="A130" s="264"/>
      <c r="B130" s="1738">
        <v>10</v>
      </c>
      <c r="C130" s="1739">
        <f t="shared" ca="1" si="6"/>
        <v>44727</v>
      </c>
      <c r="D130" s="1732" t="str">
        <f t="shared" ca="1" si="10"/>
        <v/>
      </c>
      <c r="E130" s="1740" t="str">
        <f t="shared" ca="1" si="11"/>
        <v/>
      </c>
      <c r="F130" s="1740" t="str">
        <f t="shared" ca="1" si="12"/>
        <v/>
      </c>
      <c r="G130" s="1750"/>
      <c r="H130" s="1734" t="str">
        <f t="shared" si="7"/>
        <v/>
      </c>
      <c r="I130" s="1735" t="str">
        <f t="shared" ca="1" si="2"/>
        <v/>
      </c>
      <c r="J130" s="1734" t="str">
        <f t="shared" ca="1" si="3"/>
        <v/>
      </c>
      <c r="K130" s="1732" t="str">
        <f ca="1">IFERROR(ROUNDUP(D130/(H$5*H$97*H$98),2),"")</f>
        <v/>
      </c>
      <c r="L130" s="1740" t="str">
        <f t="shared" ca="1" si="4"/>
        <v/>
      </c>
      <c r="M130" s="1740" t="str">
        <f t="shared" ca="1" si="13"/>
        <v/>
      </c>
      <c r="N130" s="1734" t="str">
        <f t="shared" ca="1" si="9"/>
        <v/>
      </c>
      <c r="O130" s="264"/>
      <c r="P130" s="1669"/>
      <c r="Q130" s="1690">
        <f t="shared" ca="1" si="5"/>
        <v>0</v>
      </c>
      <c r="R130" s="264"/>
      <c r="S130" s="264"/>
      <c r="T130" s="264"/>
      <c r="U130" s="264"/>
      <c r="V130" s="264"/>
    </row>
    <row r="131" spans="1:22" x14ac:dyDescent="0.2">
      <c r="A131" s="264"/>
      <c r="B131" s="1738">
        <v>11</v>
      </c>
      <c r="C131" s="1739">
        <f t="shared" ca="1" si="6"/>
        <v>44757</v>
      </c>
      <c r="D131" s="1732" t="str">
        <f t="shared" ca="1" si="10"/>
        <v/>
      </c>
      <c r="E131" s="1740" t="str">
        <f t="shared" ca="1" si="11"/>
        <v/>
      </c>
      <c r="F131" s="1740" t="str">
        <f t="shared" ca="1" si="12"/>
        <v/>
      </c>
      <c r="G131" s="1750"/>
      <c r="H131" s="1734" t="str">
        <f t="shared" si="7"/>
        <v/>
      </c>
      <c r="I131" s="1735" t="str">
        <f t="shared" ca="1" si="2"/>
        <v/>
      </c>
      <c r="J131" s="1734" t="str">
        <f t="shared" ca="1" si="3"/>
        <v/>
      </c>
      <c r="K131" s="1732" t="str">
        <f t="shared" ca="1" si="8"/>
        <v/>
      </c>
      <c r="L131" s="1740" t="str">
        <f t="shared" ca="1" si="4"/>
        <v/>
      </c>
      <c r="M131" s="1740" t="str">
        <f t="shared" ca="1" si="13"/>
        <v/>
      </c>
      <c r="N131" s="1734" t="str">
        <f t="shared" ca="1" si="9"/>
        <v/>
      </c>
      <c r="O131" s="264"/>
      <c r="P131" s="1669"/>
      <c r="Q131" s="1690">
        <f t="shared" ca="1" si="5"/>
        <v>0</v>
      </c>
      <c r="R131" s="264"/>
      <c r="S131" s="264"/>
      <c r="T131" s="264"/>
      <c r="U131" s="264"/>
      <c r="V131" s="264"/>
    </row>
    <row r="132" spans="1:22" x14ac:dyDescent="0.2">
      <c r="A132" s="264"/>
      <c r="B132" s="1738">
        <v>12</v>
      </c>
      <c r="C132" s="1739">
        <f t="shared" ca="1" si="6"/>
        <v>44788</v>
      </c>
      <c r="D132" s="1732" t="str">
        <f t="shared" ca="1" si="10"/>
        <v/>
      </c>
      <c r="E132" s="1740" t="str">
        <f t="shared" ca="1" si="11"/>
        <v/>
      </c>
      <c r="F132" s="1740" t="str">
        <f t="shared" ca="1" si="12"/>
        <v/>
      </c>
      <c r="G132" s="1750"/>
      <c r="H132" s="1734" t="str">
        <f t="shared" si="7"/>
        <v/>
      </c>
      <c r="I132" s="1735" t="str">
        <f t="shared" ca="1" si="2"/>
        <v/>
      </c>
      <c r="J132" s="1734" t="str">
        <f t="shared" ca="1" si="3"/>
        <v/>
      </c>
      <c r="K132" s="1732" t="str">
        <f t="shared" ca="1" si="8"/>
        <v/>
      </c>
      <c r="L132" s="1740" t="str">
        <f t="shared" ca="1" si="4"/>
        <v/>
      </c>
      <c r="M132" s="1740" t="str">
        <f t="shared" ca="1" si="13"/>
        <v/>
      </c>
      <c r="N132" s="1734" t="str">
        <f t="shared" ca="1" si="9"/>
        <v/>
      </c>
      <c r="O132" s="264"/>
      <c r="P132" s="1669"/>
      <c r="Q132" s="1690">
        <f t="shared" ca="1" si="5"/>
        <v>0</v>
      </c>
      <c r="R132" s="264"/>
      <c r="S132" s="264"/>
      <c r="T132" s="264"/>
      <c r="U132" s="264"/>
      <c r="V132" s="264"/>
    </row>
    <row r="133" spans="1:22" x14ac:dyDescent="0.2">
      <c r="A133" s="264"/>
      <c r="B133" s="1738">
        <v>13</v>
      </c>
      <c r="C133" s="1739">
        <f t="shared" ca="1" si="6"/>
        <v>44819</v>
      </c>
      <c r="D133" s="1732" t="str">
        <f t="shared" ca="1" si="10"/>
        <v/>
      </c>
      <c r="E133" s="1740" t="str">
        <f t="shared" ca="1" si="11"/>
        <v/>
      </c>
      <c r="F133" s="1740" t="str">
        <f t="shared" ca="1" si="12"/>
        <v/>
      </c>
      <c r="G133" s="1750"/>
      <c r="H133" s="1734" t="str">
        <f t="shared" si="7"/>
        <v/>
      </c>
      <c r="I133" s="1735" t="str">
        <f t="shared" ca="1" si="2"/>
        <v/>
      </c>
      <c r="J133" s="1734" t="str">
        <f t="shared" ca="1" si="3"/>
        <v/>
      </c>
      <c r="K133" s="1732" t="str">
        <f t="shared" ca="1" si="8"/>
        <v/>
      </c>
      <c r="L133" s="1740" t="str">
        <f t="shared" ca="1" si="4"/>
        <v/>
      </c>
      <c r="M133" s="1740" t="str">
        <f t="shared" ca="1" si="13"/>
        <v/>
      </c>
      <c r="N133" s="1734" t="str">
        <f t="shared" ca="1" si="9"/>
        <v/>
      </c>
      <c r="O133" s="264"/>
      <c r="P133" s="1669"/>
      <c r="Q133" s="1690">
        <f t="shared" ca="1" si="5"/>
        <v>0</v>
      </c>
      <c r="R133" s="264"/>
      <c r="S133" s="264"/>
      <c r="T133" s="264"/>
      <c r="U133" s="264"/>
      <c r="V133" s="264"/>
    </row>
    <row r="134" spans="1:22" x14ac:dyDescent="0.2">
      <c r="A134" s="264"/>
      <c r="B134" s="1738">
        <v>14</v>
      </c>
      <c r="C134" s="1739">
        <f t="shared" ca="1" si="6"/>
        <v>44849</v>
      </c>
      <c r="D134" s="1732" t="str">
        <f t="shared" ca="1" si="10"/>
        <v/>
      </c>
      <c r="E134" s="1740" t="str">
        <f t="shared" ca="1" si="11"/>
        <v/>
      </c>
      <c r="F134" s="1740" t="str">
        <f t="shared" ca="1" si="12"/>
        <v/>
      </c>
      <c r="G134" s="1750"/>
      <c r="H134" s="1734" t="str">
        <f t="shared" si="7"/>
        <v/>
      </c>
      <c r="I134" s="1735" t="str">
        <f t="shared" ca="1" si="2"/>
        <v/>
      </c>
      <c r="J134" s="1734" t="str">
        <f t="shared" ca="1" si="3"/>
        <v/>
      </c>
      <c r="K134" s="1732" t="str">
        <f t="shared" ca="1" si="8"/>
        <v/>
      </c>
      <c r="L134" s="1740" t="str">
        <f t="shared" ca="1" si="4"/>
        <v/>
      </c>
      <c r="M134" s="1740" t="str">
        <f t="shared" ca="1" si="13"/>
        <v/>
      </c>
      <c r="N134" s="1734" t="str">
        <f t="shared" ca="1" si="9"/>
        <v/>
      </c>
      <c r="O134" s="264"/>
      <c r="P134" s="1669"/>
      <c r="Q134" s="1690">
        <f t="shared" ca="1" si="5"/>
        <v>0</v>
      </c>
      <c r="R134" s="264"/>
      <c r="S134" s="264"/>
      <c r="T134" s="264"/>
      <c r="U134" s="264"/>
      <c r="V134" s="264"/>
    </row>
    <row r="135" spans="1:22" x14ac:dyDescent="0.2">
      <c r="A135" s="264"/>
      <c r="B135" s="1738">
        <v>15</v>
      </c>
      <c r="C135" s="1739">
        <f t="shared" ca="1" si="6"/>
        <v>44880</v>
      </c>
      <c r="D135" s="1732" t="str">
        <f t="shared" ca="1" si="10"/>
        <v/>
      </c>
      <c r="E135" s="1740" t="str">
        <f t="shared" ca="1" si="11"/>
        <v/>
      </c>
      <c r="F135" s="1740" t="str">
        <f t="shared" ca="1" si="12"/>
        <v/>
      </c>
      <c r="G135" s="1750"/>
      <c r="H135" s="1734" t="str">
        <f t="shared" si="7"/>
        <v/>
      </c>
      <c r="I135" s="1735" t="str">
        <f t="shared" ca="1" si="2"/>
        <v/>
      </c>
      <c r="J135" s="1734" t="str">
        <f t="shared" ca="1" si="3"/>
        <v/>
      </c>
      <c r="K135" s="1732" t="str">
        <f t="shared" ca="1" si="8"/>
        <v/>
      </c>
      <c r="L135" s="1740" t="str">
        <f t="shared" ca="1" si="4"/>
        <v/>
      </c>
      <c r="M135" s="1740" t="str">
        <f t="shared" ca="1" si="13"/>
        <v/>
      </c>
      <c r="N135" s="1734" t="str">
        <f t="shared" ca="1" si="9"/>
        <v/>
      </c>
      <c r="O135" s="264"/>
      <c r="P135" s="1669"/>
      <c r="Q135" s="1690">
        <f t="shared" ca="1" si="5"/>
        <v>0</v>
      </c>
      <c r="R135" s="264"/>
      <c r="S135" s="264"/>
      <c r="T135" s="264"/>
      <c r="U135" s="264"/>
      <c r="V135" s="264"/>
    </row>
    <row r="136" spans="1:22" x14ac:dyDescent="0.2">
      <c r="A136" s="264"/>
      <c r="B136" s="1738">
        <v>16</v>
      </c>
      <c r="C136" s="1739">
        <f t="shared" ca="1" si="6"/>
        <v>44910</v>
      </c>
      <c r="D136" s="1732" t="str">
        <f t="shared" ca="1" si="10"/>
        <v/>
      </c>
      <c r="E136" s="1740" t="str">
        <f t="shared" ca="1" si="11"/>
        <v/>
      </c>
      <c r="F136" s="1740" t="str">
        <f t="shared" ca="1" si="12"/>
        <v/>
      </c>
      <c r="G136" s="1750"/>
      <c r="H136" s="1734" t="str">
        <f t="shared" si="7"/>
        <v/>
      </c>
      <c r="I136" s="1735" t="str">
        <f t="shared" ca="1" si="2"/>
        <v/>
      </c>
      <c r="J136" s="1734" t="str">
        <f t="shared" ca="1" si="3"/>
        <v/>
      </c>
      <c r="K136" s="1732" t="str">
        <f t="shared" ca="1" si="8"/>
        <v/>
      </c>
      <c r="L136" s="1740" t="str">
        <f t="shared" ca="1" si="4"/>
        <v/>
      </c>
      <c r="M136" s="1740" t="str">
        <f t="shared" ca="1" si="13"/>
        <v/>
      </c>
      <c r="N136" s="1734" t="str">
        <f t="shared" ca="1" si="9"/>
        <v/>
      </c>
      <c r="O136" s="264"/>
      <c r="P136" s="1669"/>
      <c r="Q136" s="1690">
        <f t="shared" ca="1" si="5"/>
        <v>0</v>
      </c>
      <c r="R136" s="264"/>
      <c r="S136" s="264"/>
      <c r="T136" s="264"/>
      <c r="U136" s="264"/>
      <c r="V136" s="264"/>
    </row>
    <row r="137" spans="1:22" x14ac:dyDescent="0.2">
      <c r="A137" s="264"/>
      <c r="B137" s="1738">
        <v>17</v>
      </c>
      <c r="C137" s="1739">
        <f t="shared" ca="1" si="6"/>
        <v>44941</v>
      </c>
      <c r="D137" s="1732" t="str">
        <f t="shared" ca="1" si="10"/>
        <v/>
      </c>
      <c r="E137" s="1740" t="str">
        <f t="shared" ca="1" si="11"/>
        <v/>
      </c>
      <c r="F137" s="1740" t="str">
        <f t="shared" ca="1" si="12"/>
        <v/>
      </c>
      <c r="G137" s="1750"/>
      <c r="H137" s="1734" t="str">
        <f t="shared" si="7"/>
        <v/>
      </c>
      <c r="I137" s="1735" t="str">
        <f t="shared" ca="1" si="2"/>
        <v/>
      </c>
      <c r="J137" s="1734" t="str">
        <f t="shared" ca="1" si="3"/>
        <v/>
      </c>
      <c r="K137" s="1732" t="str">
        <f t="shared" ca="1" si="8"/>
        <v/>
      </c>
      <c r="L137" s="1740" t="str">
        <f t="shared" ca="1" si="4"/>
        <v/>
      </c>
      <c r="M137" s="1740" t="str">
        <f t="shared" ca="1" si="13"/>
        <v/>
      </c>
      <c r="N137" s="1734" t="str">
        <f t="shared" ca="1" si="9"/>
        <v/>
      </c>
      <c r="O137" s="264"/>
      <c r="P137" s="1669"/>
      <c r="Q137" s="1690">
        <f t="shared" ca="1" si="5"/>
        <v>0</v>
      </c>
      <c r="R137" s="264"/>
      <c r="S137" s="264"/>
      <c r="T137" s="264"/>
      <c r="U137" s="264"/>
      <c r="V137" s="264"/>
    </row>
    <row r="138" spans="1:22" x14ac:dyDescent="0.2">
      <c r="A138" s="264"/>
      <c r="B138" s="1738">
        <v>18</v>
      </c>
      <c r="C138" s="1739">
        <f t="shared" ca="1" si="6"/>
        <v>44972</v>
      </c>
      <c r="D138" s="1732" t="str">
        <f t="shared" ca="1" si="10"/>
        <v/>
      </c>
      <c r="E138" s="1740" t="str">
        <f t="shared" ca="1" si="11"/>
        <v/>
      </c>
      <c r="F138" s="1740" t="str">
        <f t="shared" ca="1" si="12"/>
        <v/>
      </c>
      <c r="G138" s="1750"/>
      <c r="H138" s="1734" t="str">
        <f t="shared" si="7"/>
        <v/>
      </c>
      <c r="I138" s="1735" t="str">
        <f t="shared" ca="1" si="2"/>
        <v/>
      </c>
      <c r="J138" s="1734" t="str">
        <f t="shared" ca="1" si="3"/>
        <v/>
      </c>
      <c r="K138" s="1732" t="str">
        <f t="shared" ca="1" si="8"/>
        <v/>
      </c>
      <c r="L138" s="1740" t="str">
        <f t="shared" ca="1" si="4"/>
        <v/>
      </c>
      <c r="M138" s="1740" t="str">
        <f t="shared" ca="1" si="13"/>
        <v/>
      </c>
      <c r="N138" s="1734" t="str">
        <f t="shared" ca="1" si="9"/>
        <v/>
      </c>
      <c r="O138" s="264"/>
      <c r="P138" s="1669"/>
      <c r="Q138" s="1690">
        <f t="shared" ca="1" si="5"/>
        <v>0</v>
      </c>
      <c r="R138" s="264"/>
      <c r="S138" s="264"/>
      <c r="T138" s="264"/>
      <c r="U138" s="264"/>
      <c r="V138" s="264"/>
    </row>
    <row r="139" spans="1:22" x14ac:dyDescent="0.2">
      <c r="A139" s="264"/>
      <c r="B139" s="1738">
        <v>19</v>
      </c>
      <c r="C139" s="1739">
        <f t="shared" ca="1" si="6"/>
        <v>45000</v>
      </c>
      <c r="D139" s="1732" t="str">
        <f t="shared" ca="1" si="10"/>
        <v/>
      </c>
      <c r="E139" s="1740" t="str">
        <f t="shared" ca="1" si="11"/>
        <v/>
      </c>
      <c r="F139" s="1740" t="str">
        <f t="shared" ca="1" si="12"/>
        <v/>
      </c>
      <c r="G139" s="1750"/>
      <c r="H139" s="1734" t="str">
        <f t="shared" si="7"/>
        <v/>
      </c>
      <c r="I139" s="1735" t="str">
        <f t="shared" ca="1" si="2"/>
        <v/>
      </c>
      <c r="J139" s="1734" t="str">
        <f t="shared" ca="1" si="3"/>
        <v/>
      </c>
      <c r="K139" s="1732" t="str">
        <f t="shared" ca="1" si="8"/>
        <v/>
      </c>
      <c r="L139" s="1740" t="str">
        <f t="shared" ca="1" si="4"/>
        <v/>
      </c>
      <c r="M139" s="1740" t="str">
        <f t="shared" ca="1" si="13"/>
        <v/>
      </c>
      <c r="N139" s="1734" t="str">
        <f t="shared" ca="1" si="9"/>
        <v/>
      </c>
      <c r="O139" s="264"/>
      <c r="P139" s="1669"/>
      <c r="Q139" s="1690">
        <f t="shared" ca="1" si="5"/>
        <v>0</v>
      </c>
      <c r="R139" s="264"/>
      <c r="S139" s="264"/>
      <c r="T139" s="264"/>
      <c r="U139" s="264"/>
      <c r="V139" s="264"/>
    </row>
    <row r="140" spans="1:22" x14ac:dyDescent="0.2">
      <c r="A140" s="264"/>
      <c r="B140" s="1738">
        <v>20</v>
      </c>
      <c r="C140" s="1739">
        <f t="shared" ca="1" si="6"/>
        <v>45031</v>
      </c>
      <c r="D140" s="1732" t="str">
        <f t="shared" ca="1" si="10"/>
        <v/>
      </c>
      <c r="E140" s="1740" t="str">
        <f t="shared" ca="1" si="11"/>
        <v/>
      </c>
      <c r="F140" s="1740" t="str">
        <f t="shared" ca="1" si="12"/>
        <v/>
      </c>
      <c r="G140" s="1750"/>
      <c r="H140" s="1734" t="str">
        <f t="shared" si="7"/>
        <v/>
      </c>
      <c r="I140" s="1735" t="str">
        <f t="shared" ca="1" si="2"/>
        <v/>
      </c>
      <c r="J140" s="1734" t="str">
        <f t="shared" ca="1" si="3"/>
        <v/>
      </c>
      <c r="K140" s="1732" t="str">
        <f t="shared" ca="1" si="8"/>
        <v/>
      </c>
      <c r="L140" s="1740" t="str">
        <f t="shared" ca="1" si="4"/>
        <v/>
      </c>
      <c r="M140" s="1740" t="str">
        <f t="shared" ca="1" si="13"/>
        <v/>
      </c>
      <c r="N140" s="1734" t="str">
        <f t="shared" ca="1" si="9"/>
        <v/>
      </c>
      <c r="O140" s="264"/>
      <c r="P140" s="1669"/>
      <c r="Q140" s="1690">
        <f t="shared" ca="1" si="5"/>
        <v>0</v>
      </c>
      <c r="R140" s="264"/>
      <c r="S140" s="264"/>
      <c r="T140" s="264"/>
      <c r="U140" s="264"/>
      <c r="V140" s="264"/>
    </row>
    <row r="141" spans="1:22" x14ac:dyDescent="0.2">
      <c r="A141" s="264"/>
      <c r="B141" s="1738">
        <v>21</v>
      </c>
      <c r="C141" s="1739">
        <f t="shared" ca="1" si="6"/>
        <v>45061</v>
      </c>
      <c r="D141" s="1732" t="str">
        <f t="shared" ca="1" si="10"/>
        <v/>
      </c>
      <c r="E141" s="1740" t="str">
        <f t="shared" ca="1" si="11"/>
        <v/>
      </c>
      <c r="F141" s="1740" t="str">
        <f t="shared" ca="1" si="12"/>
        <v/>
      </c>
      <c r="G141" s="1750"/>
      <c r="H141" s="1734" t="str">
        <f t="shared" si="7"/>
        <v/>
      </c>
      <c r="I141" s="1735" t="str">
        <f t="shared" ca="1" si="2"/>
        <v/>
      </c>
      <c r="J141" s="1734" t="str">
        <f t="shared" ca="1" si="3"/>
        <v/>
      </c>
      <c r="K141" s="1732" t="str">
        <f t="shared" ca="1" si="8"/>
        <v/>
      </c>
      <c r="L141" s="1740" t="str">
        <f t="shared" ca="1" si="4"/>
        <v/>
      </c>
      <c r="M141" s="1740" t="str">
        <f t="shared" ca="1" si="13"/>
        <v/>
      </c>
      <c r="N141" s="1734" t="str">
        <f t="shared" ca="1" si="9"/>
        <v/>
      </c>
      <c r="O141" s="264"/>
      <c r="P141" s="1669"/>
      <c r="Q141" s="1690">
        <f t="shared" ca="1" si="5"/>
        <v>0</v>
      </c>
      <c r="R141" s="264"/>
      <c r="S141" s="264"/>
      <c r="T141" s="264"/>
      <c r="U141" s="264"/>
      <c r="V141" s="264"/>
    </row>
    <row r="142" spans="1:22" x14ac:dyDescent="0.2">
      <c r="A142" s="264"/>
      <c r="B142" s="1738">
        <v>22</v>
      </c>
      <c r="C142" s="1739">
        <f t="shared" ca="1" si="6"/>
        <v>45092</v>
      </c>
      <c r="D142" s="1732" t="str">
        <f t="shared" ca="1" si="10"/>
        <v/>
      </c>
      <c r="E142" s="1740" t="str">
        <f t="shared" ca="1" si="11"/>
        <v/>
      </c>
      <c r="F142" s="1740" t="str">
        <f t="shared" ca="1" si="12"/>
        <v/>
      </c>
      <c r="G142" s="1750"/>
      <c r="H142" s="1734" t="str">
        <f t="shared" si="7"/>
        <v/>
      </c>
      <c r="I142" s="1735" t="str">
        <f t="shared" ca="1" si="2"/>
        <v/>
      </c>
      <c r="J142" s="1734" t="str">
        <f t="shared" ca="1" si="3"/>
        <v/>
      </c>
      <c r="K142" s="1732" t="str">
        <f t="shared" ca="1" si="8"/>
        <v/>
      </c>
      <c r="L142" s="1740" t="str">
        <f t="shared" ca="1" si="4"/>
        <v/>
      </c>
      <c r="M142" s="1740" t="str">
        <f t="shared" ca="1" si="13"/>
        <v/>
      </c>
      <c r="N142" s="1734" t="str">
        <f t="shared" ca="1" si="9"/>
        <v/>
      </c>
      <c r="O142" s="264"/>
      <c r="P142" s="1669"/>
      <c r="Q142" s="1690">
        <f t="shared" ca="1" si="5"/>
        <v>0</v>
      </c>
      <c r="R142" s="264"/>
      <c r="S142" s="264"/>
      <c r="T142" s="264"/>
      <c r="U142" s="264"/>
      <c r="V142" s="264"/>
    </row>
    <row r="143" spans="1:22" x14ac:dyDescent="0.2">
      <c r="A143" s="264"/>
      <c r="B143" s="1738">
        <v>23</v>
      </c>
      <c r="C143" s="1739">
        <f t="shared" ca="1" si="6"/>
        <v>45122</v>
      </c>
      <c r="D143" s="1732" t="str">
        <f t="shared" ca="1" si="10"/>
        <v/>
      </c>
      <c r="E143" s="1740" t="str">
        <f t="shared" ca="1" si="11"/>
        <v/>
      </c>
      <c r="F143" s="1740" t="str">
        <f t="shared" ca="1" si="12"/>
        <v/>
      </c>
      <c r="G143" s="1750"/>
      <c r="H143" s="1734" t="str">
        <f t="shared" si="7"/>
        <v/>
      </c>
      <c r="I143" s="1735" t="str">
        <f t="shared" ca="1" si="2"/>
        <v/>
      </c>
      <c r="J143" s="1734" t="str">
        <f t="shared" ca="1" si="3"/>
        <v/>
      </c>
      <c r="K143" s="1732" t="str">
        <f t="shared" ca="1" si="8"/>
        <v/>
      </c>
      <c r="L143" s="1740" t="str">
        <f t="shared" ca="1" si="4"/>
        <v/>
      </c>
      <c r="M143" s="1740" t="str">
        <f t="shared" ca="1" si="13"/>
        <v/>
      </c>
      <c r="N143" s="1734" t="str">
        <f t="shared" ca="1" si="9"/>
        <v/>
      </c>
      <c r="O143" s="264"/>
      <c r="P143" s="1669"/>
      <c r="Q143" s="1690">
        <f t="shared" ca="1" si="5"/>
        <v>0</v>
      </c>
      <c r="R143" s="264"/>
      <c r="S143" s="264"/>
      <c r="T143" s="264"/>
      <c r="U143" s="264"/>
      <c r="V143" s="264"/>
    </row>
    <row r="144" spans="1:22" x14ac:dyDescent="0.2">
      <c r="A144" s="264"/>
      <c r="B144" s="1738">
        <v>24</v>
      </c>
      <c r="C144" s="1739">
        <f t="shared" ca="1" si="6"/>
        <v>45153</v>
      </c>
      <c r="D144" s="1732" t="str">
        <f t="shared" ca="1" si="10"/>
        <v/>
      </c>
      <c r="E144" s="1740" t="str">
        <f t="shared" ca="1" si="11"/>
        <v/>
      </c>
      <c r="F144" s="1740" t="str">
        <f t="shared" ca="1" si="12"/>
        <v/>
      </c>
      <c r="G144" s="1750"/>
      <c r="H144" s="1734" t="str">
        <f t="shared" si="7"/>
        <v/>
      </c>
      <c r="I144" s="1735" t="str">
        <f t="shared" ca="1" si="2"/>
        <v/>
      </c>
      <c r="J144" s="1734" t="str">
        <f t="shared" ca="1" si="3"/>
        <v/>
      </c>
      <c r="K144" s="1732" t="str">
        <f t="shared" ca="1" si="8"/>
        <v/>
      </c>
      <c r="L144" s="1740" t="str">
        <f t="shared" ca="1" si="4"/>
        <v/>
      </c>
      <c r="M144" s="1740" t="str">
        <f t="shared" ca="1" si="13"/>
        <v/>
      </c>
      <c r="N144" s="1734" t="str">
        <f t="shared" ca="1" si="9"/>
        <v/>
      </c>
      <c r="O144" s="264"/>
      <c r="P144" s="1669"/>
      <c r="Q144" s="1690">
        <f t="shared" ca="1" si="5"/>
        <v>0</v>
      </c>
      <c r="R144" s="264"/>
      <c r="S144" s="264"/>
      <c r="T144" s="264"/>
      <c r="U144" s="264"/>
      <c r="V144" s="264"/>
    </row>
    <row r="145" spans="1:22" x14ac:dyDescent="0.2">
      <c r="A145" s="264"/>
      <c r="B145" s="1738">
        <v>25</v>
      </c>
      <c r="C145" s="1739">
        <f t="shared" ca="1" si="6"/>
        <v>45184</v>
      </c>
      <c r="D145" s="1732" t="str">
        <f t="shared" ca="1" si="10"/>
        <v/>
      </c>
      <c r="E145" s="1740" t="str">
        <f t="shared" ca="1" si="11"/>
        <v/>
      </c>
      <c r="F145" s="1740" t="str">
        <f t="shared" ca="1" si="12"/>
        <v/>
      </c>
      <c r="G145" s="1750"/>
      <c r="H145" s="1734" t="str">
        <f t="shared" si="7"/>
        <v/>
      </c>
      <c r="I145" s="1735" t="str">
        <f t="shared" ca="1" si="2"/>
        <v/>
      </c>
      <c r="J145" s="1734" t="str">
        <f t="shared" ca="1" si="3"/>
        <v/>
      </c>
      <c r="K145" s="1732" t="str">
        <f t="shared" ca="1" si="8"/>
        <v/>
      </c>
      <c r="L145" s="1740" t="str">
        <f t="shared" ca="1" si="4"/>
        <v/>
      </c>
      <c r="M145" s="1740" t="str">
        <f t="shared" ca="1" si="13"/>
        <v/>
      </c>
      <c r="N145" s="1734" t="str">
        <f t="shared" ca="1" si="9"/>
        <v/>
      </c>
      <c r="O145" s="264"/>
      <c r="P145" s="1669"/>
      <c r="Q145" s="1690">
        <f t="shared" ca="1" si="5"/>
        <v>0</v>
      </c>
      <c r="R145" s="264"/>
      <c r="S145" s="264"/>
      <c r="T145" s="264"/>
      <c r="U145" s="264"/>
      <c r="V145" s="264"/>
    </row>
    <row r="146" spans="1:22" x14ac:dyDescent="0.2">
      <c r="A146" s="264"/>
      <c r="B146" s="1738">
        <v>26</v>
      </c>
      <c r="C146" s="1739">
        <f t="shared" ca="1" si="6"/>
        <v>45214</v>
      </c>
      <c r="D146" s="1732" t="str">
        <f t="shared" ca="1" si="10"/>
        <v/>
      </c>
      <c r="E146" s="1740" t="str">
        <f t="shared" ca="1" si="11"/>
        <v/>
      </c>
      <c r="F146" s="1740" t="str">
        <f t="shared" ca="1" si="12"/>
        <v/>
      </c>
      <c r="G146" s="1750"/>
      <c r="H146" s="1734" t="str">
        <f t="shared" si="7"/>
        <v/>
      </c>
      <c r="I146" s="1735" t="str">
        <f t="shared" ca="1" si="2"/>
        <v/>
      </c>
      <c r="J146" s="1734" t="str">
        <f t="shared" ca="1" si="3"/>
        <v/>
      </c>
      <c r="K146" s="1732" t="str">
        <f t="shared" ca="1" si="8"/>
        <v/>
      </c>
      <c r="L146" s="1740" t="str">
        <f t="shared" ca="1" si="4"/>
        <v/>
      </c>
      <c r="M146" s="1740" t="str">
        <f t="shared" ca="1" si="13"/>
        <v/>
      </c>
      <c r="N146" s="1734" t="str">
        <f t="shared" ca="1" si="9"/>
        <v/>
      </c>
      <c r="O146" s="264"/>
      <c r="P146" s="264"/>
      <c r="Q146" s="1690">
        <f t="shared" ca="1" si="5"/>
        <v>0</v>
      </c>
      <c r="R146" s="264"/>
      <c r="S146" s="264"/>
      <c r="T146" s="264"/>
      <c r="U146" s="264"/>
      <c r="V146" s="264"/>
    </row>
    <row r="147" spans="1:22" x14ac:dyDescent="0.2">
      <c r="A147" s="264"/>
      <c r="B147" s="1738">
        <v>27</v>
      </c>
      <c r="C147" s="1739">
        <f t="shared" ca="1" si="6"/>
        <v>45245</v>
      </c>
      <c r="D147" s="1732" t="str">
        <f t="shared" ca="1" si="10"/>
        <v/>
      </c>
      <c r="E147" s="1740" t="str">
        <f t="shared" ca="1" si="11"/>
        <v/>
      </c>
      <c r="F147" s="1740" t="str">
        <f t="shared" ca="1" si="12"/>
        <v/>
      </c>
      <c r="G147" s="1750"/>
      <c r="H147" s="1734" t="str">
        <f t="shared" si="7"/>
        <v/>
      </c>
      <c r="I147" s="1735" t="str">
        <f t="shared" ca="1" si="2"/>
        <v/>
      </c>
      <c r="J147" s="1734" t="str">
        <f t="shared" ca="1" si="3"/>
        <v/>
      </c>
      <c r="K147" s="1732" t="str">
        <f t="shared" ca="1" si="8"/>
        <v/>
      </c>
      <c r="L147" s="1740" t="str">
        <f t="shared" ca="1" si="4"/>
        <v/>
      </c>
      <c r="M147" s="1740" t="str">
        <f t="shared" ca="1" si="13"/>
        <v/>
      </c>
      <c r="N147" s="1734" t="str">
        <f t="shared" ca="1" si="9"/>
        <v/>
      </c>
      <c r="O147" s="264"/>
      <c r="P147" s="264"/>
      <c r="Q147" s="1690">
        <f t="shared" ca="1" si="5"/>
        <v>0</v>
      </c>
      <c r="R147" s="264"/>
      <c r="S147" s="264"/>
      <c r="T147" s="264"/>
      <c r="U147" s="264"/>
      <c r="V147" s="264"/>
    </row>
    <row r="148" spans="1:22" x14ac:dyDescent="0.2">
      <c r="A148" s="264"/>
      <c r="B148" s="1738">
        <v>28</v>
      </c>
      <c r="C148" s="1739">
        <f t="shared" ca="1" si="6"/>
        <v>45275</v>
      </c>
      <c r="D148" s="1732" t="str">
        <f t="shared" ca="1" si="10"/>
        <v/>
      </c>
      <c r="E148" s="1740" t="str">
        <f t="shared" ca="1" si="11"/>
        <v/>
      </c>
      <c r="F148" s="1740" t="str">
        <f t="shared" ca="1" si="12"/>
        <v/>
      </c>
      <c r="G148" s="1750"/>
      <c r="H148" s="1734" t="str">
        <f t="shared" si="7"/>
        <v/>
      </c>
      <c r="I148" s="1735" t="str">
        <f t="shared" ca="1" si="2"/>
        <v/>
      </c>
      <c r="J148" s="1734" t="str">
        <f t="shared" ca="1" si="3"/>
        <v/>
      </c>
      <c r="K148" s="1732" t="str">
        <f t="shared" ca="1" si="8"/>
        <v/>
      </c>
      <c r="L148" s="1740" t="str">
        <f t="shared" ca="1" si="4"/>
        <v/>
      </c>
      <c r="M148" s="1740" t="str">
        <f t="shared" ca="1" si="13"/>
        <v/>
      </c>
      <c r="N148" s="1734" t="str">
        <f t="shared" ca="1" si="9"/>
        <v/>
      </c>
      <c r="O148" s="264"/>
      <c r="P148" s="264"/>
      <c r="Q148" s="1690">
        <f t="shared" ca="1" si="5"/>
        <v>0</v>
      </c>
      <c r="R148" s="264"/>
      <c r="S148" s="264"/>
      <c r="T148" s="264"/>
      <c r="U148" s="264"/>
      <c r="V148" s="264"/>
    </row>
    <row r="149" spans="1:22" x14ac:dyDescent="0.2">
      <c r="A149" s="264"/>
      <c r="B149" s="1738">
        <v>29</v>
      </c>
      <c r="C149" s="1739">
        <f t="shared" ca="1" si="6"/>
        <v>45306</v>
      </c>
      <c r="D149" s="1732" t="str">
        <f t="shared" ca="1" si="10"/>
        <v/>
      </c>
      <c r="E149" s="1740" t="str">
        <f t="shared" ca="1" si="11"/>
        <v/>
      </c>
      <c r="F149" s="1740" t="str">
        <f t="shared" ca="1" si="12"/>
        <v/>
      </c>
      <c r="G149" s="1750"/>
      <c r="H149" s="1734" t="str">
        <f t="shared" si="7"/>
        <v/>
      </c>
      <c r="I149" s="1735" t="str">
        <f t="shared" ca="1" si="2"/>
        <v/>
      </c>
      <c r="J149" s="1734" t="str">
        <f t="shared" ca="1" si="3"/>
        <v/>
      </c>
      <c r="K149" s="1732" t="str">
        <f t="shared" ca="1" si="8"/>
        <v/>
      </c>
      <c r="L149" s="1740" t="str">
        <f t="shared" ca="1" si="4"/>
        <v/>
      </c>
      <c r="M149" s="1740" t="str">
        <f t="shared" ca="1" si="13"/>
        <v/>
      </c>
      <c r="N149" s="1734" t="str">
        <f t="shared" ca="1" si="9"/>
        <v/>
      </c>
      <c r="O149" s="264"/>
      <c r="P149" s="264"/>
      <c r="Q149" s="1690">
        <f t="shared" ca="1" si="5"/>
        <v>0</v>
      </c>
      <c r="R149" s="264"/>
      <c r="S149" s="264"/>
      <c r="T149" s="264"/>
      <c r="U149" s="264"/>
      <c r="V149" s="264"/>
    </row>
    <row r="150" spans="1:22" x14ac:dyDescent="0.2">
      <c r="A150" s="264"/>
      <c r="B150" s="1738">
        <v>30</v>
      </c>
      <c r="C150" s="1739">
        <f t="shared" ca="1" si="6"/>
        <v>45337</v>
      </c>
      <c r="D150" s="1732" t="str">
        <f t="shared" ca="1" si="10"/>
        <v/>
      </c>
      <c r="E150" s="1740" t="str">
        <f t="shared" ca="1" si="11"/>
        <v/>
      </c>
      <c r="F150" s="1740" t="str">
        <f t="shared" ca="1" si="12"/>
        <v/>
      </c>
      <c r="G150" s="1750"/>
      <c r="H150" s="1734" t="str">
        <f t="shared" si="7"/>
        <v/>
      </c>
      <c r="I150" s="1735" t="str">
        <f t="shared" ca="1" si="2"/>
        <v/>
      </c>
      <c r="J150" s="1734" t="str">
        <f t="shared" ca="1" si="3"/>
        <v/>
      </c>
      <c r="K150" s="1732" t="str">
        <f t="shared" ca="1" si="8"/>
        <v/>
      </c>
      <c r="L150" s="1740" t="str">
        <f t="shared" ca="1" si="4"/>
        <v/>
      </c>
      <c r="M150" s="1740" t="str">
        <f t="shared" ca="1" si="13"/>
        <v/>
      </c>
      <c r="N150" s="1734" t="str">
        <f t="shared" ca="1" si="9"/>
        <v/>
      </c>
      <c r="O150" s="264"/>
      <c r="P150" s="264"/>
      <c r="Q150" s="1690">
        <f t="shared" ca="1" si="5"/>
        <v>0</v>
      </c>
      <c r="R150" s="264"/>
      <c r="S150" s="264"/>
      <c r="T150" s="264"/>
      <c r="U150" s="264"/>
      <c r="V150" s="264"/>
    </row>
    <row r="151" spans="1:22" x14ac:dyDescent="0.2">
      <c r="A151" s="264"/>
      <c r="B151" s="1738">
        <v>31</v>
      </c>
      <c r="C151" s="1739">
        <f t="shared" ca="1" si="6"/>
        <v>45366</v>
      </c>
      <c r="D151" s="1732" t="str">
        <f t="shared" ca="1" si="10"/>
        <v/>
      </c>
      <c r="E151" s="1740" t="str">
        <f t="shared" ca="1" si="11"/>
        <v/>
      </c>
      <c r="F151" s="1740" t="str">
        <f t="shared" ca="1" si="12"/>
        <v/>
      </c>
      <c r="G151" s="1750"/>
      <c r="H151" s="1734" t="str">
        <f t="shared" si="7"/>
        <v/>
      </c>
      <c r="I151" s="1735" t="str">
        <f t="shared" ca="1" si="2"/>
        <v/>
      </c>
      <c r="J151" s="1734" t="str">
        <f t="shared" ca="1" si="3"/>
        <v/>
      </c>
      <c r="K151" s="1732" t="str">
        <f t="shared" ca="1" si="8"/>
        <v/>
      </c>
      <c r="L151" s="1740" t="str">
        <f t="shared" ca="1" si="4"/>
        <v/>
      </c>
      <c r="M151" s="1740" t="str">
        <f t="shared" ca="1" si="13"/>
        <v/>
      </c>
      <c r="N151" s="1734" t="str">
        <f t="shared" ca="1" si="9"/>
        <v/>
      </c>
      <c r="O151" s="264"/>
      <c r="P151" s="264"/>
      <c r="Q151" s="1690">
        <f t="shared" ca="1" si="5"/>
        <v>0</v>
      </c>
      <c r="R151" s="264"/>
      <c r="S151" s="264"/>
      <c r="T151" s="264"/>
      <c r="U151" s="264"/>
      <c r="V151" s="264"/>
    </row>
    <row r="152" spans="1:22" x14ac:dyDescent="0.2">
      <c r="A152" s="264"/>
      <c r="B152" s="1738">
        <v>32</v>
      </c>
      <c r="C152" s="1739">
        <f t="shared" ca="1" si="6"/>
        <v>45397</v>
      </c>
      <c r="D152" s="1732" t="str">
        <f t="shared" ca="1" si="10"/>
        <v/>
      </c>
      <c r="E152" s="1740" t="str">
        <f t="shared" ca="1" si="11"/>
        <v/>
      </c>
      <c r="F152" s="1740" t="str">
        <f t="shared" ca="1" si="12"/>
        <v/>
      </c>
      <c r="G152" s="1750"/>
      <c r="H152" s="1734" t="str">
        <f t="shared" si="7"/>
        <v/>
      </c>
      <c r="I152" s="1735" t="str">
        <f t="shared" ca="1" si="2"/>
        <v/>
      </c>
      <c r="J152" s="1734" t="str">
        <f t="shared" ca="1" si="3"/>
        <v/>
      </c>
      <c r="K152" s="1732" t="str">
        <f t="shared" ca="1" si="8"/>
        <v/>
      </c>
      <c r="L152" s="1740" t="str">
        <f t="shared" ca="1" si="4"/>
        <v/>
      </c>
      <c r="M152" s="1740" t="str">
        <f t="shared" ca="1" si="13"/>
        <v/>
      </c>
      <c r="N152" s="1734" t="str">
        <f t="shared" ca="1" si="9"/>
        <v/>
      </c>
      <c r="O152" s="264"/>
      <c r="P152" s="264"/>
      <c r="Q152" s="1690">
        <f t="shared" ca="1" si="5"/>
        <v>0</v>
      </c>
      <c r="R152" s="264"/>
      <c r="S152" s="264"/>
      <c r="T152" s="264"/>
      <c r="U152" s="264"/>
      <c r="V152" s="264"/>
    </row>
    <row r="153" spans="1:22" x14ac:dyDescent="0.2">
      <c r="A153" s="264"/>
      <c r="B153" s="1738">
        <v>33</v>
      </c>
      <c r="C153" s="1739">
        <f t="shared" ca="1" si="6"/>
        <v>45427</v>
      </c>
      <c r="D153" s="1732" t="str">
        <f t="shared" ca="1" si="10"/>
        <v/>
      </c>
      <c r="E153" s="1740" t="str">
        <f t="shared" ca="1" si="11"/>
        <v/>
      </c>
      <c r="F153" s="1740" t="str">
        <f t="shared" ca="1" si="12"/>
        <v/>
      </c>
      <c r="G153" s="1750"/>
      <c r="H153" s="1734" t="str">
        <f t="shared" si="7"/>
        <v/>
      </c>
      <c r="I153" s="1735" t="str">
        <f t="shared" ref="I153:I184" ca="1" si="14">IFERROR(
        IF(C153="",
                "",
                IF(C153&gt;INDEX(C$121:C$220,60),
                        0,
                        ROUND(E153*MIN(1,H$90/H$89),2))),
        "")</f>
        <v/>
      </c>
      <c r="J153" s="1734" t="str">
        <f t="shared" ca="1" si="3"/>
        <v/>
      </c>
      <c r="K153" s="1732" t="str">
        <f t="shared" ref="K153:K184" ca="1" si="15">IFERROR(ROUNDUP(D153/(H$5*H$97*H$98),2),"")</f>
        <v/>
      </c>
      <c r="L153" s="1740" t="str">
        <f t="shared" ref="L153:L184" ca="1" si="16">IFERROR(
        MAX(0,ROUNDUP((D153-IF(B153=1,
                        0,
                        IFERROR(INDEX(I$121:I$220,(B153-H$95)^2/(B153-H$95)),0)))/
                       (H$5*H$97*H$98),
                2)),
        K153)</f>
        <v/>
      </c>
      <c r="M153" s="1740" t="str">
        <f t="shared" ca="1" si="13"/>
        <v/>
      </c>
      <c r="N153" s="1734" t="str">
        <f t="shared" ca="1" si="9"/>
        <v/>
      </c>
      <c r="O153" s="264"/>
      <c r="P153" s="264"/>
      <c r="Q153" s="1690">
        <f t="shared" ca="1" si="5"/>
        <v>0</v>
      </c>
      <c r="R153" s="264"/>
      <c r="S153" s="264"/>
      <c r="T153" s="264"/>
      <c r="U153" s="264"/>
      <c r="V153" s="264"/>
    </row>
    <row r="154" spans="1:22" x14ac:dyDescent="0.2">
      <c r="A154" s="264"/>
      <c r="B154" s="1738">
        <v>34</v>
      </c>
      <c r="C154" s="1739">
        <f t="shared" ref="C154:C185" ca="1" si="17">IFERROR(
        IF(EDATE(C153,1)&gt;EDATE(H$91,H$93),
                "",
                EDATE(C153,1)),
        "")</f>
        <v>45458</v>
      </c>
      <c r="D154" s="1732" t="str">
        <f t="shared" ca="1" si="10"/>
        <v/>
      </c>
      <c r="E154" s="1740" t="str">
        <f t="shared" ca="1" si="11"/>
        <v/>
      </c>
      <c r="F154" s="1740" t="str">
        <f t="shared" ca="1" si="12"/>
        <v/>
      </c>
      <c r="G154" s="1750"/>
      <c r="H154" s="1734" t="str">
        <f t="shared" si="7"/>
        <v/>
      </c>
      <c r="I154" s="1735" t="str">
        <f t="shared" ca="1" si="14"/>
        <v/>
      </c>
      <c r="J154" s="1734" t="str">
        <f t="shared" ca="1" si="3"/>
        <v/>
      </c>
      <c r="K154" s="1732" t="str">
        <f t="shared" ca="1" si="15"/>
        <v/>
      </c>
      <c r="L154" s="1740" t="str">
        <f t="shared" ca="1" si="16"/>
        <v/>
      </c>
      <c r="M154" s="1740" t="str">
        <f t="shared" ca="1" si="13"/>
        <v/>
      </c>
      <c r="N154" s="1734" t="str">
        <f t="shared" ref="N154:N185" ca="1" si="18">IFERROR(ROUND(M154*H$5*H$97*H$98-D154+IFERROR(INDEX(I$121:I$220,(B154-H$95)^2/(B154-H$95)),0)+N153,2),"")</f>
        <v/>
      </c>
      <c r="O154" s="264"/>
      <c r="P154" s="264"/>
      <c r="Q154" s="1690">
        <f t="shared" ca="1" si="5"/>
        <v>0</v>
      </c>
      <c r="R154" s="264"/>
      <c r="S154" s="264"/>
      <c r="T154" s="264"/>
      <c r="U154" s="264"/>
      <c r="V154" s="264"/>
    </row>
    <row r="155" spans="1:22" x14ac:dyDescent="0.2">
      <c r="A155" s="264"/>
      <c r="B155" s="1738">
        <v>35</v>
      </c>
      <c r="C155" s="1739">
        <f t="shared" ca="1" si="17"/>
        <v>45488</v>
      </c>
      <c r="D155" s="1732" t="str">
        <f t="shared" ca="1" si="10"/>
        <v/>
      </c>
      <c r="E155" s="1740" t="str">
        <f t="shared" ca="1" si="11"/>
        <v/>
      </c>
      <c r="F155" s="1740" t="str">
        <f t="shared" ca="1" si="12"/>
        <v/>
      </c>
      <c r="G155" s="1750"/>
      <c r="H155" s="1734" t="str">
        <f t="shared" si="7"/>
        <v/>
      </c>
      <c r="I155" s="1735" t="str">
        <f t="shared" ca="1" si="14"/>
        <v/>
      </c>
      <c r="J155" s="1734" t="str">
        <f t="shared" ca="1" si="3"/>
        <v/>
      </c>
      <c r="K155" s="1732" t="str">
        <f t="shared" ca="1" si="15"/>
        <v/>
      </c>
      <c r="L155" s="1740" t="str">
        <f t="shared" ca="1" si="16"/>
        <v/>
      </c>
      <c r="M155" s="1740"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ca="1" si="18"/>
        <v/>
      </c>
      <c r="O155" s="264"/>
      <c r="P155" s="264"/>
      <c r="Q155" s="1690">
        <f t="shared" ca="1" si="5"/>
        <v>0</v>
      </c>
      <c r="R155" s="264"/>
      <c r="S155" s="264"/>
      <c r="T155" s="264"/>
      <c r="U155" s="264"/>
      <c r="V155" s="264"/>
    </row>
    <row r="156" spans="1:22" x14ac:dyDescent="0.2">
      <c r="A156" s="264"/>
      <c r="B156" s="1738">
        <v>36</v>
      </c>
      <c r="C156" s="1739">
        <f t="shared" ca="1" si="17"/>
        <v>45519</v>
      </c>
      <c r="D156" s="1732" t="str">
        <f t="shared" ca="1" si="10"/>
        <v/>
      </c>
      <c r="E156" s="1740" t="str">
        <f t="shared" ca="1" si="11"/>
        <v/>
      </c>
      <c r="F156" s="1740" t="str">
        <f t="shared" ca="1" si="12"/>
        <v/>
      </c>
      <c r="G156" s="1750"/>
      <c r="H156" s="1734" t="str">
        <f t="shared" si="7"/>
        <v/>
      </c>
      <c r="I156" s="1735" t="str">
        <f t="shared" ca="1" si="14"/>
        <v/>
      </c>
      <c r="J156" s="1734" t="str">
        <f t="shared" ca="1" si="3"/>
        <v/>
      </c>
      <c r="K156" s="1732" t="str">
        <f t="shared" ca="1" si="15"/>
        <v/>
      </c>
      <c r="L156" s="1740" t="str">
        <f t="shared" ca="1" si="16"/>
        <v/>
      </c>
      <c r="M156" s="1740" t="str">
        <f t="shared" ca="1" si="19"/>
        <v/>
      </c>
      <c r="N156" s="1734" t="str">
        <f t="shared" ca="1" si="18"/>
        <v/>
      </c>
      <c r="O156" s="264"/>
      <c r="P156" s="264"/>
      <c r="Q156" s="1690">
        <f t="shared" ca="1" si="5"/>
        <v>0</v>
      </c>
      <c r="R156" s="264"/>
      <c r="S156" s="264"/>
      <c r="T156" s="264"/>
      <c r="U156" s="264"/>
      <c r="V156" s="264"/>
    </row>
    <row r="157" spans="1:22" x14ac:dyDescent="0.2">
      <c r="A157" s="264"/>
      <c r="B157" s="1738">
        <v>37</v>
      </c>
      <c r="C157" s="1739">
        <f t="shared" ca="1" si="17"/>
        <v>45550</v>
      </c>
      <c r="D157" s="1732" t="str">
        <f t="shared" ca="1" si="10"/>
        <v/>
      </c>
      <c r="E157" s="1740" t="str">
        <f t="shared" ca="1" si="11"/>
        <v/>
      </c>
      <c r="F157" s="1740" t="str">
        <f t="shared" ca="1" si="12"/>
        <v/>
      </c>
      <c r="G157" s="1750"/>
      <c r="H157" s="1734" t="str">
        <f t="shared" si="7"/>
        <v/>
      </c>
      <c r="I157" s="1735" t="str">
        <f t="shared" ca="1" si="14"/>
        <v/>
      </c>
      <c r="J157" s="1734" t="str">
        <f t="shared" ca="1" si="3"/>
        <v/>
      </c>
      <c r="K157" s="1732" t="str">
        <f t="shared" ca="1" si="15"/>
        <v/>
      </c>
      <c r="L157" s="1740" t="str">
        <f t="shared" ca="1" si="16"/>
        <v/>
      </c>
      <c r="M157" s="1740" t="str">
        <f t="shared" ca="1" si="19"/>
        <v/>
      </c>
      <c r="N157" s="1734" t="str">
        <f t="shared" ca="1" si="18"/>
        <v/>
      </c>
      <c r="O157" s="264"/>
      <c r="P157" s="264"/>
      <c r="Q157" s="1690">
        <f t="shared" ca="1" si="5"/>
        <v>0</v>
      </c>
      <c r="R157" s="264"/>
      <c r="S157" s="264"/>
      <c r="T157" s="264"/>
      <c r="U157" s="264"/>
      <c r="V157" s="264"/>
    </row>
    <row r="158" spans="1:22" x14ac:dyDescent="0.2">
      <c r="A158" s="264"/>
      <c r="B158" s="1738">
        <v>38</v>
      </c>
      <c r="C158" s="1739">
        <f t="shared" ca="1" si="17"/>
        <v>45580</v>
      </c>
      <c r="D158" s="1732" t="str">
        <f t="shared" ca="1" si="10"/>
        <v/>
      </c>
      <c r="E158" s="1740" t="str">
        <f t="shared" ca="1" si="11"/>
        <v/>
      </c>
      <c r="F158" s="1740" t="str">
        <f t="shared" ca="1" si="12"/>
        <v/>
      </c>
      <c r="G158" s="1750"/>
      <c r="H158" s="1734" t="str">
        <f t="shared" si="7"/>
        <v/>
      </c>
      <c r="I158" s="1735" t="str">
        <f t="shared" ca="1" si="14"/>
        <v/>
      </c>
      <c r="J158" s="1734" t="str">
        <f t="shared" ca="1" si="3"/>
        <v/>
      </c>
      <c r="K158" s="1732" t="str">
        <f t="shared" ca="1" si="15"/>
        <v/>
      </c>
      <c r="L158" s="1740" t="str">
        <f t="shared" ca="1" si="16"/>
        <v/>
      </c>
      <c r="M158" s="1740" t="str">
        <f t="shared" ca="1" si="19"/>
        <v/>
      </c>
      <c r="N158" s="1734" t="str">
        <f t="shared" ca="1" si="18"/>
        <v/>
      </c>
      <c r="O158" s="264"/>
      <c r="P158" s="264"/>
      <c r="Q158" s="1690">
        <f t="shared" ca="1" si="5"/>
        <v>0</v>
      </c>
      <c r="R158" s="264"/>
      <c r="S158" s="264"/>
      <c r="T158" s="264"/>
      <c r="U158" s="264"/>
      <c r="V158" s="264"/>
    </row>
    <row r="159" spans="1:22" x14ac:dyDescent="0.2">
      <c r="A159" s="264"/>
      <c r="B159" s="1738">
        <v>39</v>
      </c>
      <c r="C159" s="1739">
        <f t="shared" ca="1" si="17"/>
        <v>45611</v>
      </c>
      <c r="D159" s="1732" t="str">
        <f t="shared" ca="1" si="10"/>
        <v/>
      </c>
      <c r="E159" s="1740" t="str">
        <f t="shared" ca="1" si="11"/>
        <v/>
      </c>
      <c r="F159" s="1740" t="str">
        <f t="shared" ca="1" si="12"/>
        <v/>
      </c>
      <c r="G159" s="1750"/>
      <c r="H159" s="1734" t="str">
        <f t="shared" si="7"/>
        <v/>
      </c>
      <c r="I159" s="1735" t="str">
        <f t="shared" ca="1" si="14"/>
        <v/>
      </c>
      <c r="J159" s="1734" t="str">
        <f t="shared" ca="1" si="3"/>
        <v/>
      </c>
      <c r="K159" s="1732" t="str">
        <f t="shared" ca="1" si="15"/>
        <v/>
      </c>
      <c r="L159" s="1740" t="str">
        <f t="shared" ca="1" si="16"/>
        <v/>
      </c>
      <c r="M159" s="1740" t="str">
        <f t="shared" ca="1" si="19"/>
        <v/>
      </c>
      <c r="N159" s="1734" t="str">
        <f t="shared" ca="1" si="18"/>
        <v/>
      </c>
      <c r="O159" s="264"/>
      <c r="P159" s="264"/>
      <c r="Q159" s="1690">
        <f t="shared" ca="1" si="5"/>
        <v>0</v>
      </c>
      <c r="R159" s="264"/>
      <c r="S159" s="264"/>
      <c r="T159" s="264"/>
      <c r="U159" s="264"/>
      <c r="V159" s="264"/>
    </row>
    <row r="160" spans="1:22" x14ac:dyDescent="0.2">
      <c r="A160" s="264"/>
      <c r="B160" s="1738">
        <v>40</v>
      </c>
      <c r="C160" s="1739">
        <f t="shared" ca="1" si="17"/>
        <v>45641</v>
      </c>
      <c r="D160" s="1732" t="str">
        <f t="shared" ca="1" si="10"/>
        <v/>
      </c>
      <c r="E160" s="1740" t="str">
        <f t="shared" ca="1" si="11"/>
        <v/>
      </c>
      <c r="F160" s="1740" t="str">
        <f t="shared" ca="1" si="12"/>
        <v/>
      </c>
      <c r="G160" s="1750"/>
      <c r="H160" s="1734" t="str">
        <f t="shared" si="7"/>
        <v/>
      </c>
      <c r="I160" s="1735" t="str">
        <f t="shared" ca="1" si="14"/>
        <v/>
      </c>
      <c r="J160" s="1734" t="str">
        <f t="shared" ca="1" si="3"/>
        <v/>
      </c>
      <c r="K160" s="1732" t="str">
        <f t="shared" ca="1" si="15"/>
        <v/>
      </c>
      <c r="L160" s="1740" t="str">
        <f t="shared" ca="1" si="16"/>
        <v/>
      </c>
      <c r="M160" s="1740" t="str">
        <f t="shared" ca="1" si="19"/>
        <v/>
      </c>
      <c r="N160" s="1734" t="str">
        <f t="shared" ca="1" si="18"/>
        <v/>
      </c>
      <c r="O160" s="264"/>
      <c r="P160" s="264"/>
      <c r="Q160" s="1690">
        <f t="shared" ca="1" si="5"/>
        <v>0</v>
      </c>
      <c r="R160" s="264"/>
      <c r="S160" s="264"/>
      <c r="T160" s="264"/>
      <c r="U160" s="264"/>
      <c r="V160" s="264"/>
    </row>
    <row r="161" spans="1:22" x14ac:dyDescent="0.2">
      <c r="A161" s="264"/>
      <c r="B161" s="1738">
        <v>41</v>
      </c>
      <c r="C161" s="1739">
        <f t="shared" ca="1" si="17"/>
        <v>45672</v>
      </c>
      <c r="D161" s="1732" t="str">
        <f t="shared" ca="1" si="10"/>
        <v/>
      </c>
      <c r="E161" s="1740" t="str">
        <f t="shared" ca="1" si="11"/>
        <v/>
      </c>
      <c r="F161" s="1740" t="str">
        <f t="shared" ca="1" si="12"/>
        <v/>
      </c>
      <c r="G161" s="1750"/>
      <c r="H161" s="1734" t="str">
        <f t="shared" si="7"/>
        <v/>
      </c>
      <c r="I161" s="1735" t="str">
        <f t="shared" ca="1" si="14"/>
        <v/>
      </c>
      <c r="J161" s="1734" t="str">
        <f t="shared" ca="1" si="3"/>
        <v/>
      </c>
      <c r="K161" s="1732" t="str">
        <f t="shared" ca="1" si="15"/>
        <v/>
      </c>
      <c r="L161" s="1740" t="str">
        <f t="shared" ca="1" si="16"/>
        <v/>
      </c>
      <c r="M161" s="1740" t="str">
        <f t="shared" ca="1" si="19"/>
        <v/>
      </c>
      <c r="N161" s="1734" t="str">
        <f t="shared" ca="1" si="18"/>
        <v/>
      </c>
      <c r="O161" s="264"/>
      <c r="P161" s="264"/>
      <c r="Q161" s="1690">
        <f t="shared" ca="1" si="5"/>
        <v>0</v>
      </c>
      <c r="R161" s="264"/>
      <c r="S161" s="264"/>
      <c r="T161" s="264"/>
      <c r="U161" s="264"/>
      <c r="V161" s="264"/>
    </row>
    <row r="162" spans="1:22" x14ac:dyDescent="0.2">
      <c r="A162" s="264"/>
      <c r="B162" s="1738">
        <v>42</v>
      </c>
      <c r="C162" s="1739">
        <f t="shared" ca="1" si="17"/>
        <v>45703</v>
      </c>
      <c r="D162" s="1732" t="str">
        <f t="shared" ca="1" si="10"/>
        <v/>
      </c>
      <c r="E162" s="1740" t="str">
        <f t="shared" ca="1" si="11"/>
        <v/>
      </c>
      <c r="F162" s="1740" t="str">
        <f t="shared" ca="1" si="12"/>
        <v/>
      </c>
      <c r="G162" s="1750"/>
      <c r="H162" s="1734" t="str">
        <f t="shared" si="7"/>
        <v/>
      </c>
      <c r="I162" s="1735" t="str">
        <f t="shared" ca="1" si="14"/>
        <v/>
      </c>
      <c r="J162" s="1734" t="str">
        <f t="shared" ca="1" si="3"/>
        <v/>
      </c>
      <c r="K162" s="1732" t="str">
        <f t="shared" ca="1" si="15"/>
        <v/>
      </c>
      <c r="L162" s="1740" t="str">
        <f t="shared" ca="1" si="16"/>
        <v/>
      </c>
      <c r="M162" s="1740" t="str">
        <f t="shared" ca="1" si="19"/>
        <v/>
      </c>
      <c r="N162" s="1734" t="str">
        <f t="shared" ca="1" si="18"/>
        <v/>
      </c>
      <c r="O162" s="264"/>
      <c r="P162" s="264"/>
      <c r="Q162" s="1690">
        <f t="shared" ca="1" si="5"/>
        <v>0</v>
      </c>
      <c r="R162" s="264"/>
      <c r="S162" s="264"/>
      <c r="T162" s="264"/>
      <c r="U162" s="264"/>
      <c r="V162" s="264"/>
    </row>
    <row r="163" spans="1:22" x14ac:dyDescent="0.2">
      <c r="A163" s="264"/>
      <c r="B163" s="1738">
        <v>43</v>
      </c>
      <c r="C163" s="1739">
        <f t="shared" ca="1" si="17"/>
        <v>45731</v>
      </c>
      <c r="D163" s="1732" t="str">
        <f t="shared" ca="1" si="10"/>
        <v/>
      </c>
      <c r="E163" s="1740" t="str">
        <f t="shared" ca="1" si="11"/>
        <v/>
      </c>
      <c r="F163" s="1740" t="str">
        <f t="shared" ca="1" si="12"/>
        <v/>
      </c>
      <c r="G163" s="1750"/>
      <c r="H163" s="1734" t="str">
        <f t="shared" si="7"/>
        <v/>
      </c>
      <c r="I163" s="1735" t="str">
        <f t="shared" ca="1" si="14"/>
        <v/>
      </c>
      <c r="J163" s="1734" t="str">
        <f t="shared" ca="1" si="3"/>
        <v/>
      </c>
      <c r="K163" s="1732" t="str">
        <f t="shared" ca="1" si="15"/>
        <v/>
      </c>
      <c r="L163" s="1740" t="str">
        <f t="shared" ca="1" si="16"/>
        <v/>
      </c>
      <c r="M163" s="1740" t="str">
        <f t="shared" ca="1" si="19"/>
        <v/>
      </c>
      <c r="N163" s="1734" t="str">
        <f t="shared" ca="1" si="18"/>
        <v/>
      </c>
      <c r="O163" s="264"/>
      <c r="P163" s="264"/>
      <c r="Q163" s="1690">
        <f t="shared" ca="1" si="5"/>
        <v>0</v>
      </c>
      <c r="R163" s="264"/>
      <c r="S163" s="264"/>
      <c r="T163" s="264"/>
      <c r="U163" s="264"/>
      <c r="V163" s="264"/>
    </row>
    <row r="164" spans="1:22" x14ac:dyDescent="0.2">
      <c r="A164" s="264"/>
      <c r="B164" s="1738">
        <v>44</v>
      </c>
      <c r="C164" s="1739">
        <f t="shared" ca="1" si="17"/>
        <v>45762</v>
      </c>
      <c r="D164" s="1732" t="str">
        <f t="shared" ca="1" si="10"/>
        <v/>
      </c>
      <c r="E164" s="1740" t="str">
        <f t="shared" ca="1" si="11"/>
        <v/>
      </c>
      <c r="F164" s="1740" t="str">
        <f t="shared" ca="1" si="12"/>
        <v/>
      </c>
      <c r="G164" s="1750"/>
      <c r="H164" s="1734" t="str">
        <f t="shared" si="7"/>
        <v/>
      </c>
      <c r="I164" s="1735" t="str">
        <f t="shared" ca="1" si="14"/>
        <v/>
      </c>
      <c r="J164" s="1734" t="str">
        <f t="shared" ca="1" si="3"/>
        <v/>
      </c>
      <c r="K164" s="1732" t="str">
        <f t="shared" ca="1" si="15"/>
        <v/>
      </c>
      <c r="L164" s="1740" t="str">
        <f t="shared" ca="1" si="16"/>
        <v/>
      </c>
      <c r="M164" s="1740" t="str">
        <f t="shared" ca="1" si="19"/>
        <v/>
      </c>
      <c r="N164" s="1734" t="str">
        <f t="shared" ca="1" si="18"/>
        <v/>
      </c>
      <c r="O164" s="264"/>
      <c r="P164" s="264"/>
      <c r="Q164" s="1690">
        <f t="shared" ca="1" si="5"/>
        <v>0</v>
      </c>
      <c r="R164" s="264"/>
      <c r="S164" s="264"/>
      <c r="T164" s="264"/>
      <c r="U164" s="264"/>
      <c r="V164" s="264"/>
    </row>
    <row r="165" spans="1:22" x14ac:dyDescent="0.2">
      <c r="A165" s="264"/>
      <c r="B165" s="1738">
        <v>45</v>
      </c>
      <c r="C165" s="1739">
        <f t="shared" ca="1" si="17"/>
        <v>45792</v>
      </c>
      <c r="D165" s="1732" t="str">
        <f t="shared" ca="1" si="10"/>
        <v/>
      </c>
      <c r="E165" s="1740" t="str">
        <f t="shared" ca="1" si="11"/>
        <v/>
      </c>
      <c r="F165" s="1740" t="str">
        <f t="shared" ca="1" si="12"/>
        <v/>
      </c>
      <c r="G165" s="1750"/>
      <c r="H165" s="1734" t="str">
        <f t="shared" si="7"/>
        <v/>
      </c>
      <c r="I165" s="1735" t="str">
        <f t="shared" ca="1" si="14"/>
        <v/>
      </c>
      <c r="J165" s="1734" t="str">
        <f t="shared" ca="1" si="3"/>
        <v/>
      </c>
      <c r="K165" s="1732" t="str">
        <f t="shared" ca="1" si="15"/>
        <v/>
      </c>
      <c r="L165" s="1740" t="str">
        <f t="shared" ca="1" si="16"/>
        <v/>
      </c>
      <c r="M165" s="1740" t="str">
        <f t="shared" ca="1" si="19"/>
        <v/>
      </c>
      <c r="N165" s="1734" t="str">
        <f t="shared" ca="1" si="18"/>
        <v/>
      </c>
      <c r="O165" s="264"/>
      <c r="P165" s="264"/>
      <c r="Q165" s="1690">
        <f t="shared" ca="1" si="5"/>
        <v>0</v>
      </c>
      <c r="R165" s="264"/>
      <c r="S165" s="264"/>
      <c r="T165" s="264"/>
      <c r="U165" s="264"/>
      <c r="V165" s="264"/>
    </row>
    <row r="166" spans="1:22" x14ac:dyDescent="0.2">
      <c r="A166" s="264"/>
      <c r="B166" s="1738">
        <v>46</v>
      </c>
      <c r="C166" s="1739">
        <f t="shared" ca="1" si="17"/>
        <v>45823</v>
      </c>
      <c r="D166" s="1732" t="str">
        <f t="shared" ca="1" si="10"/>
        <v/>
      </c>
      <c r="E166" s="1740" t="str">
        <f t="shared" ca="1" si="11"/>
        <v/>
      </c>
      <c r="F166" s="1740" t="str">
        <f t="shared" ca="1" si="12"/>
        <v/>
      </c>
      <c r="G166" s="1750"/>
      <c r="H166" s="1734" t="str">
        <f t="shared" si="7"/>
        <v/>
      </c>
      <c r="I166" s="1735" t="str">
        <f t="shared" ca="1" si="14"/>
        <v/>
      </c>
      <c r="J166" s="1734" t="str">
        <f t="shared" ca="1" si="3"/>
        <v/>
      </c>
      <c r="K166" s="1732" t="str">
        <f t="shared" ca="1" si="15"/>
        <v/>
      </c>
      <c r="L166" s="1740" t="str">
        <f t="shared" ca="1" si="16"/>
        <v/>
      </c>
      <c r="M166" s="1740" t="str">
        <f t="shared" ca="1" si="19"/>
        <v/>
      </c>
      <c r="N166" s="1734" t="str">
        <f t="shared" ca="1" si="18"/>
        <v/>
      </c>
      <c r="O166" s="264"/>
      <c r="P166" s="264"/>
      <c r="Q166" s="1690">
        <f t="shared" ca="1" si="5"/>
        <v>0</v>
      </c>
      <c r="R166" s="264"/>
      <c r="S166" s="264"/>
      <c r="T166" s="264"/>
      <c r="U166" s="264"/>
      <c r="V166" s="264"/>
    </row>
    <row r="167" spans="1:22" x14ac:dyDescent="0.2">
      <c r="A167" s="264"/>
      <c r="B167" s="1738">
        <v>47</v>
      </c>
      <c r="C167" s="1739">
        <f t="shared" ca="1" si="17"/>
        <v>45853</v>
      </c>
      <c r="D167" s="1732" t="str">
        <f t="shared" ca="1" si="10"/>
        <v/>
      </c>
      <c r="E167" s="1740" t="str">
        <f t="shared" ca="1" si="11"/>
        <v/>
      </c>
      <c r="F167" s="1740" t="str">
        <f t="shared" ca="1" si="12"/>
        <v/>
      </c>
      <c r="G167" s="1750"/>
      <c r="H167" s="1734" t="str">
        <f t="shared" si="7"/>
        <v/>
      </c>
      <c r="I167" s="1735" t="str">
        <f t="shared" ca="1" si="14"/>
        <v/>
      </c>
      <c r="J167" s="1734" t="str">
        <f t="shared" ca="1" si="3"/>
        <v/>
      </c>
      <c r="K167" s="1732" t="str">
        <f t="shared" ca="1" si="15"/>
        <v/>
      </c>
      <c r="L167" s="1740" t="str">
        <f t="shared" ca="1" si="16"/>
        <v/>
      </c>
      <c r="M167" s="1740" t="str">
        <f t="shared" ca="1" si="19"/>
        <v/>
      </c>
      <c r="N167" s="1734" t="str">
        <f t="shared" ca="1" si="18"/>
        <v/>
      </c>
      <c r="O167" s="264"/>
      <c r="P167" s="264"/>
      <c r="Q167" s="1690">
        <f t="shared" ca="1" si="5"/>
        <v>0</v>
      </c>
      <c r="R167" s="264"/>
      <c r="S167" s="264"/>
      <c r="T167" s="264"/>
      <c r="U167" s="264"/>
      <c r="V167" s="264"/>
    </row>
    <row r="168" spans="1:22" x14ac:dyDescent="0.2">
      <c r="A168" s="264"/>
      <c r="B168" s="1738">
        <v>48</v>
      </c>
      <c r="C168" s="1739">
        <f t="shared" ca="1" si="17"/>
        <v>45884</v>
      </c>
      <c r="D168" s="1732" t="str">
        <f t="shared" ca="1" si="10"/>
        <v/>
      </c>
      <c r="E168" s="1740" t="str">
        <f t="shared" ca="1" si="11"/>
        <v/>
      </c>
      <c r="F168" s="1740" t="str">
        <f t="shared" ca="1" si="12"/>
        <v/>
      </c>
      <c r="G168" s="1750"/>
      <c r="H168" s="1734" t="str">
        <f t="shared" si="7"/>
        <v/>
      </c>
      <c r="I168" s="1735" t="str">
        <f t="shared" ca="1" si="14"/>
        <v/>
      </c>
      <c r="J168" s="1734" t="str">
        <f t="shared" ca="1" si="3"/>
        <v/>
      </c>
      <c r="K168" s="1732" t="str">
        <f t="shared" ca="1" si="15"/>
        <v/>
      </c>
      <c r="L168" s="1740" t="str">
        <f t="shared" ca="1" si="16"/>
        <v/>
      </c>
      <c r="M168" s="1740" t="str">
        <f t="shared" ca="1" si="19"/>
        <v/>
      </c>
      <c r="N168" s="1734" t="str">
        <f t="shared" ca="1" si="18"/>
        <v/>
      </c>
      <c r="O168" s="264"/>
      <c r="P168" s="264"/>
      <c r="Q168" s="1690">
        <f ca="1">IFERROR(IF(K168&gt;=0,H$6,""),"")</f>
        <v>0</v>
      </c>
      <c r="R168" s="264"/>
      <c r="S168" s="264"/>
      <c r="T168" s="264"/>
      <c r="U168" s="264"/>
      <c r="V168" s="264"/>
    </row>
    <row r="169" spans="1:22" x14ac:dyDescent="0.2">
      <c r="A169" s="264"/>
      <c r="B169" s="1738">
        <v>49</v>
      </c>
      <c r="C169" s="1739">
        <f t="shared" ca="1" si="17"/>
        <v>45915</v>
      </c>
      <c r="D169" s="1732" t="str">
        <f t="shared" ca="1" si="10"/>
        <v/>
      </c>
      <c r="E169" s="1740" t="str">
        <f t="shared" ca="1" si="11"/>
        <v/>
      </c>
      <c r="F169" s="1740" t="str">
        <f t="shared" ca="1" si="12"/>
        <v/>
      </c>
      <c r="G169" s="1750"/>
      <c r="H169" s="1734" t="str">
        <f t="shared" si="7"/>
        <v/>
      </c>
      <c r="I169" s="1735" t="str">
        <f t="shared" ca="1" si="14"/>
        <v/>
      </c>
      <c r="J169" s="1734" t="str">
        <f t="shared" ca="1" si="3"/>
        <v/>
      </c>
      <c r="K169" s="1732" t="str">
        <f t="shared" ca="1" si="15"/>
        <v/>
      </c>
      <c r="L169" s="1740" t="str">
        <f t="shared" ca="1" si="16"/>
        <v/>
      </c>
      <c r="M169" s="1740" t="str">
        <f t="shared" ca="1" si="19"/>
        <v/>
      </c>
      <c r="N169" s="1734" t="str">
        <f t="shared" ca="1" si="18"/>
        <v/>
      </c>
      <c r="O169" s="264"/>
      <c r="P169" s="264"/>
      <c r="Q169" s="1690">
        <f t="shared" ref="Q169:Q180" ca="1" si="20">IFERROR(IF(K169&gt;=0,H$6,""),"")</f>
        <v>0</v>
      </c>
      <c r="R169" s="264"/>
      <c r="S169" s="264"/>
      <c r="T169" s="264"/>
      <c r="U169" s="264"/>
      <c r="V169" s="264"/>
    </row>
    <row r="170" spans="1:22" x14ac:dyDescent="0.2">
      <c r="A170" s="264"/>
      <c r="B170" s="1738">
        <v>50</v>
      </c>
      <c r="C170" s="1739">
        <f t="shared" ca="1" si="17"/>
        <v>45945</v>
      </c>
      <c r="D170" s="1732" t="str">
        <f t="shared" ca="1" si="10"/>
        <v/>
      </c>
      <c r="E170" s="1740" t="str">
        <f t="shared" ca="1" si="11"/>
        <v/>
      </c>
      <c r="F170" s="1740" t="str">
        <f t="shared" ca="1" si="12"/>
        <v/>
      </c>
      <c r="G170" s="1750"/>
      <c r="H170" s="1734" t="str">
        <f t="shared" si="7"/>
        <v/>
      </c>
      <c r="I170" s="1735" t="str">
        <f t="shared" ca="1" si="14"/>
        <v/>
      </c>
      <c r="J170" s="1734" t="str">
        <f t="shared" ca="1" si="3"/>
        <v/>
      </c>
      <c r="K170" s="1732" t="str">
        <f t="shared" ca="1" si="15"/>
        <v/>
      </c>
      <c r="L170" s="1740" t="str">
        <f t="shared" ca="1" si="16"/>
        <v/>
      </c>
      <c r="M170" s="1740" t="str">
        <f t="shared" ca="1" si="19"/>
        <v/>
      </c>
      <c r="N170" s="1734" t="str">
        <f t="shared" ca="1" si="18"/>
        <v/>
      </c>
      <c r="O170" s="264"/>
      <c r="P170" s="264"/>
      <c r="Q170" s="1690">
        <f t="shared" ca="1" si="20"/>
        <v>0</v>
      </c>
      <c r="R170" s="264"/>
      <c r="S170" s="264"/>
      <c r="T170" s="264"/>
      <c r="U170" s="264"/>
      <c r="V170" s="264"/>
    </row>
    <row r="171" spans="1:22" x14ac:dyDescent="0.2">
      <c r="A171" s="264"/>
      <c r="B171" s="1738">
        <v>51</v>
      </c>
      <c r="C171" s="1739">
        <f t="shared" ca="1" si="17"/>
        <v>45976</v>
      </c>
      <c r="D171" s="1732" t="str">
        <f t="shared" ca="1" si="10"/>
        <v/>
      </c>
      <c r="E171" s="1740" t="str">
        <f t="shared" ca="1" si="11"/>
        <v/>
      </c>
      <c r="F171" s="1740" t="str">
        <f t="shared" ca="1" si="12"/>
        <v/>
      </c>
      <c r="G171" s="1750"/>
      <c r="H171" s="1734" t="str">
        <f t="shared" si="7"/>
        <v/>
      </c>
      <c r="I171" s="1735" t="str">
        <f t="shared" ca="1" si="14"/>
        <v/>
      </c>
      <c r="J171" s="1734" t="str">
        <f t="shared" ca="1" si="3"/>
        <v/>
      </c>
      <c r="K171" s="1732" t="str">
        <f t="shared" ca="1" si="15"/>
        <v/>
      </c>
      <c r="L171" s="1740" t="str">
        <f t="shared" ca="1" si="16"/>
        <v/>
      </c>
      <c r="M171" s="1740" t="str">
        <f t="shared" ca="1" si="19"/>
        <v/>
      </c>
      <c r="N171" s="1734" t="str">
        <f t="shared" ca="1" si="18"/>
        <v/>
      </c>
      <c r="O171" s="264"/>
      <c r="P171" s="264"/>
      <c r="Q171" s="1690">
        <f t="shared" ca="1" si="20"/>
        <v>0</v>
      </c>
      <c r="R171" s="264"/>
      <c r="S171" s="264"/>
      <c r="T171" s="264"/>
      <c r="U171" s="264"/>
      <c r="V171" s="264"/>
    </row>
    <row r="172" spans="1:22" x14ac:dyDescent="0.2">
      <c r="A172" s="264"/>
      <c r="B172" s="1738">
        <v>52</v>
      </c>
      <c r="C172" s="1739">
        <f t="shared" ca="1" si="17"/>
        <v>46006</v>
      </c>
      <c r="D172" s="1732" t="str">
        <f t="shared" ca="1" si="10"/>
        <v/>
      </c>
      <c r="E172" s="1740" t="str">
        <f t="shared" ca="1" si="11"/>
        <v/>
      </c>
      <c r="F172" s="1740" t="str">
        <f t="shared" ca="1" si="12"/>
        <v/>
      </c>
      <c r="G172" s="1750"/>
      <c r="H172" s="1734" t="str">
        <f t="shared" si="7"/>
        <v/>
      </c>
      <c r="I172" s="1735" t="str">
        <f t="shared" ca="1" si="14"/>
        <v/>
      </c>
      <c r="J172" s="1734" t="str">
        <f t="shared" ca="1" si="3"/>
        <v/>
      </c>
      <c r="K172" s="1732" t="str">
        <f t="shared" ca="1" si="15"/>
        <v/>
      </c>
      <c r="L172" s="1740" t="str">
        <f t="shared" ca="1" si="16"/>
        <v/>
      </c>
      <c r="M172" s="1740" t="str">
        <f t="shared" ca="1" si="19"/>
        <v/>
      </c>
      <c r="N172" s="1734" t="str">
        <f t="shared" ca="1" si="18"/>
        <v/>
      </c>
      <c r="O172" s="264"/>
      <c r="P172" s="264"/>
      <c r="Q172" s="1690">
        <f t="shared" ca="1" si="20"/>
        <v>0</v>
      </c>
      <c r="R172" s="264"/>
      <c r="S172" s="264"/>
      <c r="T172" s="264"/>
      <c r="U172" s="264"/>
      <c r="V172" s="264"/>
    </row>
    <row r="173" spans="1:22" x14ac:dyDescent="0.2">
      <c r="A173" s="264"/>
      <c r="B173" s="1738">
        <v>53</v>
      </c>
      <c r="C173" s="1739">
        <f t="shared" ca="1" si="17"/>
        <v>46037</v>
      </c>
      <c r="D173" s="1732" t="str">
        <f t="shared" ca="1" si="10"/>
        <v/>
      </c>
      <c r="E173" s="1740" t="str">
        <f t="shared" ca="1" si="11"/>
        <v/>
      </c>
      <c r="F173" s="1740" t="str">
        <f t="shared" ca="1" si="12"/>
        <v/>
      </c>
      <c r="G173" s="1750"/>
      <c r="H173" s="1734" t="str">
        <f t="shared" si="7"/>
        <v/>
      </c>
      <c r="I173" s="1735" t="str">
        <f t="shared" ca="1" si="14"/>
        <v/>
      </c>
      <c r="J173" s="1734" t="str">
        <f t="shared" ca="1" si="3"/>
        <v/>
      </c>
      <c r="K173" s="1732" t="str">
        <f t="shared" ca="1" si="15"/>
        <v/>
      </c>
      <c r="L173" s="1740" t="str">
        <f t="shared" ca="1" si="16"/>
        <v/>
      </c>
      <c r="M173" s="1740" t="str">
        <f t="shared" ca="1" si="19"/>
        <v/>
      </c>
      <c r="N173" s="1734" t="str">
        <f t="shared" ca="1" si="18"/>
        <v/>
      </c>
      <c r="O173" s="264"/>
      <c r="P173" s="264"/>
      <c r="Q173" s="1690">
        <f t="shared" ca="1" si="20"/>
        <v>0</v>
      </c>
      <c r="R173" s="264"/>
      <c r="S173" s="264"/>
      <c r="T173" s="264"/>
      <c r="U173" s="264"/>
      <c r="V173" s="264"/>
    </row>
    <row r="174" spans="1:22" x14ac:dyDescent="0.2">
      <c r="A174" s="264"/>
      <c r="B174" s="1738">
        <v>54</v>
      </c>
      <c r="C174" s="1739">
        <f t="shared" ca="1" si="17"/>
        <v>46068</v>
      </c>
      <c r="D174" s="1732" t="str">
        <f t="shared" ca="1" si="10"/>
        <v/>
      </c>
      <c r="E174" s="1740" t="str">
        <f t="shared" ca="1" si="11"/>
        <v/>
      </c>
      <c r="F174" s="1740" t="str">
        <f t="shared" ca="1" si="12"/>
        <v/>
      </c>
      <c r="G174" s="1750"/>
      <c r="H174" s="1734" t="str">
        <f t="shared" si="7"/>
        <v/>
      </c>
      <c r="I174" s="1735" t="str">
        <f t="shared" ca="1" si="14"/>
        <v/>
      </c>
      <c r="J174" s="1734" t="str">
        <f t="shared" ca="1" si="3"/>
        <v/>
      </c>
      <c r="K174" s="1732" t="str">
        <f t="shared" ca="1" si="15"/>
        <v/>
      </c>
      <c r="L174" s="1740" t="str">
        <f t="shared" ca="1" si="16"/>
        <v/>
      </c>
      <c r="M174" s="1740" t="str">
        <f t="shared" ca="1" si="19"/>
        <v/>
      </c>
      <c r="N174" s="1734" t="str">
        <f t="shared" ca="1" si="18"/>
        <v/>
      </c>
      <c r="O174" s="264"/>
      <c r="P174" s="264"/>
      <c r="Q174" s="1690">
        <f t="shared" ca="1" si="20"/>
        <v>0</v>
      </c>
      <c r="R174" s="264"/>
      <c r="S174" s="264"/>
      <c r="T174" s="264"/>
      <c r="U174" s="264"/>
      <c r="V174" s="264"/>
    </row>
    <row r="175" spans="1:22" x14ac:dyDescent="0.2">
      <c r="A175" s="264"/>
      <c r="B175" s="1738">
        <v>55</v>
      </c>
      <c r="C175" s="1739">
        <f t="shared" ca="1" si="17"/>
        <v>46096</v>
      </c>
      <c r="D175" s="1732" t="str">
        <f t="shared" ca="1" si="10"/>
        <v/>
      </c>
      <c r="E175" s="1740" t="str">
        <f t="shared" ca="1" si="11"/>
        <v/>
      </c>
      <c r="F175" s="1740" t="str">
        <f t="shared" ca="1" si="12"/>
        <v/>
      </c>
      <c r="G175" s="1750"/>
      <c r="H175" s="1734" t="str">
        <f t="shared" si="7"/>
        <v/>
      </c>
      <c r="I175" s="1735" t="str">
        <f t="shared" ca="1" si="14"/>
        <v/>
      </c>
      <c r="J175" s="1734" t="str">
        <f t="shared" ca="1" si="3"/>
        <v/>
      </c>
      <c r="K175" s="1732" t="str">
        <f t="shared" ca="1" si="15"/>
        <v/>
      </c>
      <c r="L175" s="1740" t="str">
        <f t="shared" ca="1" si="16"/>
        <v/>
      </c>
      <c r="M175" s="1740" t="str">
        <f t="shared" ca="1" si="19"/>
        <v/>
      </c>
      <c r="N175" s="1734" t="str">
        <f t="shared" ca="1" si="18"/>
        <v/>
      </c>
      <c r="O175" s="264"/>
      <c r="P175" s="264"/>
      <c r="Q175" s="1690">
        <f t="shared" ca="1" si="20"/>
        <v>0</v>
      </c>
      <c r="R175" s="264"/>
      <c r="S175" s="264"/>
      <c r="T175" s="264"/>
      <c r="U175" s="264"/>
      <c r="V175" s="264"/>
    </row>
    <row r="176" spans="1:22" x14ac:dyDescent="0.2">
      <c r="A176" s="264"/>
      <c r="B176" s="1738">
        <v>56</v>
      </c>
      <c r="C176" s="1739">
        <f t="shared" ca="1" si="17"/>
        <v>46127</v>
      </c>
      <c r="D176" s="1732" t="str">
        <f t="shared" ca="1" si="10"/>
        <v/>
      </c>
      <c r="E176" s="1740" t="str">
        <f t="shared" ca="1" si="11"/>
        <v/>
      </c>
      <c r="F176" s="1740" t="str">
        <f t="shared" ca="1" si="12"/>
        <v/>
      </c>
      <c r="G176" s="1750"/>
      <c r="H176" s="1734" t="str">
        <f t="shared" si="7"/>
        <v/>
      </c>
      <c r="I176" s="1735" t="str">
        <f t="shared" ca="1" si="14"/>
        <v/>
      </c>
      <c r="J176" s="1734" t="str">
        <f t="shared" ca="1" si="3"/>
        <v/>
      </c>
      <c r="K176" s="1732" t="str">
        <f t="shared" ca="1" si="15"/>
        <v/>
      </c>
      <c r="L176" s="1740" t="str">
        <f t="shared" ca="1" si="16"/>
        <v/>
      </c>
      <c r="M176" s="1740" t="str">
        <f t="shared" ca="1" si="19"/>
        <v/>
      </c>
      <c r="N176" s="1734" t="str">
        <f t="shared" ca="1" si="18"/>
        <v/>
      </c>
      <c r="O176" s="264"/>
      <c r="P176" s="264"/>
      <c r="Q176" s="1690">
        <f t="shared" ca="1" si="20"/>
        <v>0</v>
      </c>
      <c r="R176" s="264"/>
      <c r="S176" s="264"/>
      <c r="T176" s="264"/>
      <c r="U176" s="264"/>
      <c r="V176" s="264"/>
    </row>
    <row r="177" spans="1:22" x14ac:dyDescent="0.2">
      <c r="A177" s="264"/>
      <c r="B177" s="1738">
        <v>57</v>
      </c>
      <c r="C177" s="1739">
        <f t="shared" ca="1" si="17"/>
        <v>46157</v>
      </c>
      <c r="D177" s="1732" t="str">
        <f t="shared" ca="1" si="10"/>
        <v/>
      </c>
      <c r="E177" s="1740" t="str">
        <f t="shared" ca="1" si="11"/>
        <v/>
      </c>
      <c r="F177" s="1740" t="str">
        <f t="shared" ca="1" si="12"/>
        <v/>
      </c>
      <c r="G177" s="1750"/>
      <c r="H177" s="1734" t="str">
        <f t="shared" si="7"/>
        <v/>
      </c>
      <c r="I177" s="1735" t="str">
        <f t="shared" ca="1" si="14"/>
        <v/>
      </c>
      <c r="J177" s="1734" t="str">
        <f t="shared" ca="1" si="3"/>
        <v/>
      </c>
      <c r="K177" s="1732" t="str">
        <f t="shared" ca="1" si="15"/>
        <v/>
      </c>
      <c r="L177" s="1740" t="str">
        <f t="shared" ca="1" si="16"/>
        <v/>
      </c>
      <c r="M177" s="1740" t="str">
        <f t="shared" ca="1" si="19"/>
        <v/>
      </c>
      <c r="N177" s="1734" t="str">
        <f t="shared" ca="1" si="18"/>
        <v/>
      </c>
      <c r="O177" s="264"/>
      <c r="P177" s="264"/>
      <c r="Q177" s="1690">
        <f t="shared" ca="1" si="20"/>
        <v>0</v>
      </c>
      <c r="R177" s="264"/>
      <c r="S177" s="264"/>
      <c r="T177" s="264"/>
      <c r="U177" s="264"/>
      <c r="V177" s="264"/>
    </row>
    <row r="178" spans="1:22" x14ac:dyDescent="0.2">
      <c r="A178" s="264"/>
      <c r="B178" s="1738">
        <v>58</v>
      </c>
      <c r="C178" s="1739">
        <f t="shared" ca="1" si="17"/>
        <v>46188</v>
      </c>
      <c r="D178" s="1732" t="str">
        <f t="shared" ca="1" si="10"/>
        <v/>
      </c>
      <c r="E178" s="1740" t="str">
        <f t="shared" ca="1" si="11"/>
        <v/>
      </c>
      <c r="F178" s="1740" t="str">
        <f t="shared" ca="1" si="12"/>
        <v/>
      </c>
      <c r="G178" s="1750"/>
      <c r="H178" s="1734" t="str">
        <f t="shared" si="7"/>
        <v/>
      </c>
      <c r="I178" s="1735" t="str">
        <f t="shared" ca="1" si="14"/>
        <v/>
      </c>
      <c r="J178" s="1734" t="str">
        <f t="shared" ca="1" si="3"/>
        <v/>
      </c>
      <c r="K178" s="1732" t="str">
        <f t="shared" ca="1" si="15"/>
        <v/>
      </c>
      <c r="L178" s="1740" t="str">
        <f t="shared" ca="1" si="16"/>
        <v/>
      </c>
      <c r="M178" s="1740" t="str">
        <f t="shared" ca="1" si="19"/>
        <v/>
      </c>
      <c r="N178" s="1734" t="str">
        <f t="shared" ca="1" si="18"/>
        <v/>
      </c>
      <c r="O178" s="264"/>
      <c r="P178" s="264"/>
      <c r="Q178" s="1690">
        <f t="shared" ca="1" si="20"/>
        <v>0</v>
      </c>
      <c r="R178" s="264"/>
      <c r="S178" s="264"/>
      <c r="T178" s="264"/>
      <c r="U178" s="264"/>
      <c r="V178" s="264"/>
    </row>
    <row r="179" spans="1:22" x14ac:dyDescent="0.2">
      <c r="A179" s="264"/>
      <c r="B179" s="1738">
        <v>59</v>
      </c>
      <c r="C179" s="1739">
        <f t="shared" ca="1" si="17"/>
        <v>46218</v>
      </c>
      <c r="D179" s="1732" t="str">
        <f t="shared" ca="1" si="10"/>
        <v/>
      </c>
      <c r="E179" s="1740" t="str">
        <f t="shared" ca="1" si="11"/>
        <v/>
      </c>
      <c r="F179" s="1740" t="str">
        <f t="shared" ca="1" si="12"/>
        <v/>
      </c>
      <c r="G179" s="1750"/>
      <c r="H179" s="1734" t="str">
        <f t="shared" si="7"/>
        <v/>
      </c>
      <c r="I179" s="1735" t="str">
        <f t="shared" ca="1" si="14"/>
        <v/>
      </c>
      <c r="J179" s="1734" t="str">
        <f t="shared" ca="1" si="3"/>
        <v/>
      </c>
      <c r="K179" s="1732" t="str">
        <f t="shared" ca="1" si="15"/>
        <v/>
      </c>
      <c r="L179" s="1740" t="str">
        <f t="shared" ca="1" si="16"/>
        <v/>
      </c>
      <c r="M179" s="1740" t="str">
        <f t="shared" ca="1" si="19"/>
        <v/>
      </c>
      <c r="N179" s="1734" t="str">
        <f t="shared" ca="1" si="18"/>
        <v/>
      </c>
      <c r="O179" s="264"/>
      <c r="P179" s="264"/>
      <c r="Q179" s="1690">
        <f t="shared" ca="1" si="20"/>
        <v>0</v>
      </c>
      <c r="R179" s="264"/>
      <c r="S179" s="264"/>
      <c r="T179" s="264"/>
      <c r="U179" s="264"/>
      <c r="V179" s="264"/>
    </row>
    <row r="180" spans="1:22" x14ac:dyDescent="0.2">
      <c r="A180" s="264"/>
      <c r="B180" s="1741">
        <v>60</v>
      </c>
      <c r="C180" s="1742">
        <f t="shared" ca="1" si="17"/>
        <v>46249</v>
      </c>
      <c r="D180" s="1743" t="str">
        <f t="shared" ca="1" si="10"/>
        <v/>
      </c>
      <c r="E180" s="1744" t="str">
        <f t="shared" ca="1" si="11"/>
        <v/>
      </c>
      <c r="F180" s="1744" t="str">
        <f t="shared" ca="1" si="12"/>
        <v/>
      </c>
      <c r="G180" s="1751"/>
      <c r="H180" s="1745" t="str">
        <f t="shared" si="7"/>
        <v/>
      </c>
      <c r="I180" s="1743" t="str">
        <f t="shared" ca="1" si="14"/>
        <v/>
      </c>
      <c r="J180" s="1745" t="str">
        <f t="shared" ca="1" si="3"/>
        <v/>
      </c>
      <c r="K180" s="1743" t="str">
        <f t="shared" ca="1" si="15"/>
        <v/>
      </c>
      <c r="L180" s="1744" t="str">
        <f t="shared" ca="1" si="16"/>
        <v/>
      </c>
      <c r="M180" s="1744" t="str">
        <f t="shared" ca="1" si="19"/>
        <v/>
      </c>
      <c r="N180" s="1745" t="str">
        <f t="shared" ca="1" si="18"/>
        <v/>
      </c>
      <c r="O180" s="264"/>
      <c r="P180" s="264"/>
      <c r="Q180" s="1690">
        <f t="shared" ca="1" si="20"/>
        <v>0</v>
      </c>
      <c r="R180" s="264"/>
      <c r="S180" s="264"/>
      <c r="T180" s="264"/>
      <c r="U180" s="264"/>
      <c r="V180" s="264"/>
    </row>
    <row r="181" spans="1:22" x14ac:dyDescent="0.2">
      <c r="A181" s="264"/>
      <c r="B181" s="1746">
        <v>61</v>
      </c>
      <c r="C181" s="1747" t="str">
        <f t="shared" ca="1" si="17"/>
        <v/>
      </c>
      <c r="D181" s="1735" t="str">
        <f t="shared" ref="D181:D186" ca="1" si="21">IFERROR(IF(H$94&gt;=B181,
        E181,
        IF(C181="",
                "",
                IF(C182="",
                        E181+H180,
                        ROUND((H180*H$89/12)/(1-(1+H$89/12)^-(COUNTIF(C$121:C$480,"&gt;0")-B181+1)),
                               0)))),"")</f>
        <v/>
      </c>
      <c r="E181" s="1748" t="str">
        <f t="shared" ref="E181:E185" ca="1" si="22">IFERROR(
        ROUND(H180*(H$89*(DATEVALUE("01."&amp;MONTH(C181)&amp;"."&amp;YEAR(C181))-C180-1)/(DATEVALUE("01.01."&amp;YEAR(C180)+1)-DATEVALUE("01.01."&amp;YEAR(C180)))+
                    H$89*(C181-DATEVALUE("01."&amp;MONTH(C181)&amp;"."&amp;YEAR(C181))+1)/(DATEVALUE("01.01."&amp;YEAR(C181)+1)-DATEVALUE("01.01."&amp;YEAR(C181)))),
               2),
        "")</f>
        <v/>
      </c>
      <c r="F181" s="1748" t="str">
        <f t="shared" ca="1" si="12"/>
        <v/>
      </c>
      <c r="G181" s="1748"/>
      <c r="H181" s="1749" t="str">
        <f t="shared" ref="H181:H186" si="23">IF(OR(H180=0,H180=""),
        "",
        H180-F181-G181)</f>
        <v/>
      </c>
      <c r="I181" s="1735" t="str">
        <f t="shared" ca="1" si="14"/>
        <v/>
      </c>
      <c r="J181" s="1749" t="str">
        <f t="shared" ca="1" si="3"/>
        <v/>
      </c>
      <c r="K181" s="1735" t="str">
        <f t="shared" ca="1" si="15"/>
        <v/>
      </c>
      <c r="L181" s="1748" t="str">
        <f t="shared" ca="1" si="16"/>
        <v/>
      </c>
      <c r="M181" s="1748" t="str">
        <f t="shared" ca="1" si="19"/>
        <v/>
      </c>
      <c r="N181" s="1749" t="str">
        <f t="shared" ca="1" si="18"/>
        <v/>
      </c>
      <c r="O181" s="264"/>
      <c r="P181" s="264"/>
      <c r="Q181" s="1690">
        <f t="shared" ref="Q181:Q185" ca="1" si="24">IFERROR(IF(K181&gt;0,H$6,""),"")</f>
        <v>0</v>
      </c>
      <c r="R181" s="264"/>
      <c r="S181" s="264"/>
      <c r="T181" s="264"/>
      <c r="U181" s="264"/>
      <c r="V181" s="264"/>
    </row>
    <row r="182" spans="1:22" x14ac:dyDescent="0.2">
      <c r="A182" s="264"/>
      <c r="B182" s="1738">
        <v>62</v>
      </c>
      <c r="C182" s="1739" t="str">
        <f t="shared" ca="1" si="17"/>
        <v/>
      </c>
      <c r="D182" s="1732" t="str">
        <f t="shared" ca="1" si="21"/>
        <v/>
      </c>
      <c r="E182" s="1740" t="str">
        <f t="shared" ca="1" si="22"/>
        <v/>
      </c>
      <c r="F182" s="1740" t="str">
        <f t="shared" ca="1" si="12"/>
        <v/>
      </c>
      <c r="G182" s="1740"/>
      <c r="H182" s="1734" t="str">
        <f t="shared" si="23"/>
        <v/>
      </c>
      <c r="I182" s="1735" t="str">
        <f t="shared" ca="1" si="14"/>
        <v/>
      </c>
      <c r="J182" s="1734" t="str">
        <f t="shared" ca="1" si="3"/>
        <v/>
      </c>
      <c r="K182" s="1732" t="str">
        <f t="shared" ca="1" si="15"/>
        <v/>
      </c>
      <c r="L182" s="1748" t="str">
        <f t="shared" ca="1" si="16"/>
        <v/>
      </c>
      <c r="M182" s="1740" t="str">
        <f t="shared" ca="1" si="19"/>
        <v/>
      </c>
      <c r="N182" s="1734" t="str">
        <f t="shared" ca="1" si="18"/>
        <v/>
      </c>
      <c r="O182" s="264"/>
      <c r="P182" s="264"/>
      <c r="Q182" s="1690">
        <f t="shared" ca="1" si="24"/>
        <v>0</v>
      </c>
      <c r="R182" s="264"/>
      <c r="S182" s="264"/>
      <c r="T182" s="264"/>
      <c r="U182" s="264"/>
      <c r="V182" s="264"/>
    </row>
    <row r="183" spans="1:22" x14ac:dyDescent="0.2">
      <c r="A183" s="264"/>
      <c r="B183" s="1738">
        <v>63</v>
      </c>
      <c r="C183" s="1739" t="str">
        <f t="shared" ca="1" si="17"/>
        <v/>
      </c>
      <c r="D183" s="1732" t="str">
        <f t="shared" ca="1" si="21"/>
        <v/>
      </c>
      <c r="E183" s="1740" t="str">
        <f t="shared" ca="1" si="22"/>
        <v/>
      </c>
      <c r="F183" s="1740" t="str">
        <f t="shared" ca="1" si="12"/>
        <v/>
      </c>
      <c r="G183" s="1740"/>
      <c r="H183" s="1734" t="str">
        <f t="shared" si="23"/>
        <v/>
      </c>
      <c r="I183" s="1735" t="str">
        <f t="shared" ca="1" si="14"/>
        <v/>
      </c>
      <c r="J183" s="1734" t="str">
        <f t="shared" ca="1" si="3"/>
        <v/>
      </c>
      <c r="K183" s="1732" t="str">
        <f t="shared" ca="1" si="15"/>
        <v/>
      </c>
      <c r="L183" s="1748" t="str">
        <f t="shared" ca="1" si="16"/>
        <v/>
      </c>
      <c r="M183" s="1740" t="str">
        <f t="shared" ca="1" si="19"/>
        <v/>
      </c>
      <c r="N183" s="1734" t="str">
        <f t="shared" ca="1" si="18"/>
        <v/>
      </c>
      <c r="O183" s="264"/>
      <c r="P183" s="264"/>
      <c r="Q183" s="1690">
        <f t="shared" ca="1" si="24"/>
        <v>0</v>
      </c>
      <c r="R183" s="264"/>
      <c r="S183" s="264"/>
      <c r="T183" s="264"/>
      <c r="U183" s="264"/>
      <c r="V183" s="264"/>
    </row>
    <row r="184" spans="1:22" x14ac:dyDescent="0.2">
      <c r="A184" s="264"/>
      <c r="B184" s="1738">
        <v>64</v>
      </c>
      <c r="C184" s="1739" t="str">
        <f t="shared" ca="1" si="17"/>
        <v/>
      </c>
      <c r="D184" s="1732" t="str">
        <f t="shared" ca="1" si="21"/>
        <v/>
      </c>
      <c r="E184" s="1740" t="str">
        <f t="shared" ca="1" si="22"/>
        <v/>
      </c>
      <c r="F184" s="1740" t="str">
        <f t="shared" ca="1" si="12"/>
        <v/>
      </c>
      <c r="G184" s="1740"/>
      <c r="H184" s="1734" t="str">
        <f t="shared" si="23"/>
        <v/>
      </c>
      <c r="I184" s="1735" t="str">
        <f t="shared" ca="1" si="14"/>
        <v/>
      </c>
      <c r="J184" s="1734" t="str">
        <f t="shared" ca="1" si="3"/>
        <v/>
      </c>
      <c r="K184" s="1732" t="str">
        <f t="shared" ca="1" si="15"/>
        <v/>
      </c>
      <c r="L184" s="1748" t="str">
        <f t="shared" ca="1" si="16"/>
        <v/>
      </c>
      <c r="M184" s="1740" t="str">
        <f t="shared" ca="1" si="19"/>
        <v/>
      </c>
      <c r="N184" s="1734" t="str">
        <f t="shared" ca="1" si="18"/>
        <v/>
      </c>
      <c r="O184" s="264"/>
      <c r="P184" s="264"/>
      <c r="Q184" s="1690">
        <f t="shared" ca="1" si="24"/>
        <v>0</v>
      </c>
      <c r="R184" s="264"/>
      <c r="S184" s="264"/>
      <c r="T184" s="264"/>
      <c r="U184" s="264"/>
      <c r="V184" s="264"/>
    </row>
    <row r="185" spans="1:22" x14ac:dyDescent="0.2">
      <c r="A185" s="264"/>
      <c r="B185" s="1738">
        <v>65</v>
      </c>
      <c r="C185" s="1739" t="str">
        <f t="shared" ca="1" si="17"/>
        <v/>
      </c>
      <c r="D185" s="1732" t="str">
        <f t="shared" ca="1" si="21"/>
        <v/>
      </c>
      <c r="E185" s="1740" t="str">
        <f t="shared" ca="1" si="22"/>
        <v/>
      </c>
      <c r="F185" s="1740" t="str">
        <f t="shared" ref="F185:F220" ca="1" si="25">IFERROR(D185-E185,"")</f>
        <v/>
      </c>
      <c r="G185" s="1740"/>
      <c r="H185" s="1734" t="str">
        <f t="shared" si="23"/>
        <v/>
      </c>
      <c r="I185" s="1735" t="str">
        <f t="shared" ref="I185:I216" ca="1" si="26">IFERROR(
        IF(C185="",
                "",
                IF(C185&gt;INDEX(C$121:C$220,60),
                        0,
                        ROUND(E185*MIN(1,H$90/H$89),2))),
        "")</f>
        <v/>
      </c>
      <c r="J185" s="1734" t="str">
        <f t="shared" ref="J185:J220" ca="1" si="27">IFERROR(E185-I185,"")</f>
        <v/>
      </c>
      <c r="K185" s="1732" t="str">
        <f t="shared" ref="K185:K220" ca="1" si="28">IFERROR(ROUNDUP(D185/(H$5*H$97*H$98),2),"")</f>
        <v/>
      </c>
      <c r="L185" s="1748" t="str">
        <f t="shared" ref="L185:L216" ca="1" si="29">IFERROR(
        MAX(0,ROUNDUP((D185-IF(B185=1,
                        0,
                        IFERROR(INDEX(I$121:I$220,(B185-H$95)^2/(B185-H$95)),0)))/
                       (H$5*H$97*H$98),
                2)),
        K185)</f>
        <v/>
      </c>
      <c r="M185" s="1740" t="str">
        <f t="shared" ca="1" si="19"/>
        <v/>
      </c>
      <c r="N185" s="1734" t="str">
        <f t="shared" ca="1" si="18"/>
        <v/>
      </c>
      <c r="O185" s="264"/>
      <c r="P185" s="264"/>
      <c r="Q185" s="1690">
        <f t="shared" ca="1" si="24"/>
        <v>0</v>
      </c>
      <c r="R185" s="264"/>
      <c r="S185" s="264"/>
      <c r="T185" s="264"/>
      <c r="U185" s="264"/>
      <c r="V185" s="264"/>
    </row>
    <row r="186" spans="1:22" x14ac:dyDescent="0.2">
      <c r="A186" s="264"/>
      <c r="B186" s="1738">
        <v>66</v>
      </c>
      <c r="C186" s="1739" t="str">
        <f t="shared" ref="C186:C220" ca="1" si="30">IFERROR(
        IF(EDATE(C185,1)&gt;EDATE(H$91,H$93),
                "",
                EDATE(C185,1)),
        "")</f>
        <v/>
      </c>
      <c r="D186" s="1732" t="str">
        <f t="shared" ca="1" si="21"/>
        <v/>
      </c>
      <c r="E186" s="1740" t="str">
        <f t="shared" ref="E186:E220" ca="1" si="31">IFERROR(
        ROUND(H185*(H$89*(DATEVALUE("01."&amp;MONTH(C186)&amp;"."&amp;YEAR(C186))-C185-1)/(DATEVALUE("01.01."&amp;YEAR(C185)+1)-DATEVALUE("01.01."&amp;YEAR(C185)))+
                    H$89*(C186-DATEVALUE("01."&amp;MONTH(C186)&amp;"."&amp;YEAR(C186))+1)/(DATEVALUE("01.01."&amp;YEAR(C186)+1)-DATEVALUE("01.01."&amp;YEAR(C186)))),
               2),
        "")</f>
        <v/>
      </c>
      <c r="F186" s="1740" t="str">
        <f t="shared" ca="1" si="25"/>
        <v/>
      </c>
      <c r="G186" s="1740"/>
      <c r="H186" s="1734" t="str">
        <f t="shared" si="23"/>
        <v/>
      </c>
      <c r="I186" s="1735" t="str">
        <f t="shared" ca="1" si="26"/>
        <v/>
      </c>
      <c r="J186" s="1734" t="str">
        <f t="shared" ca="1" si="27"/>
        <v/>
      </c>
      <c r="K186" s="1732" t="str">
        <f t="shared" ca="1" si="28"/>
        <v/>
      </c>
      <c r="L186" s="1748" t="str">
        <f t="shared" ca="1" si="29"/>
        <v/>
      </c>
      <c r="M186" s="1740" t="str">
        <f t="shared" ca="1" si="19"/>
        <v/>
      </c>
      <c r="N186" s="1734" t="str">
        <f t="shared" ref="N186:N217" ca="1" si="32">IFERROR(ROUND(M186*H$5*H$97*H$98-D186+IFERROR(INDEX(I$121:I$220,(B186-H$95)^2/(B186-H$95)),0)+N185,2),"")</f>
        <v/>
      </c>
      <c r="O186" s="264"/>
      <c r="P186" s="264"/>
      <c r="Q186" s="1690">
        <f t="shared" ref="Q186:Q220" ca="1" si="33">IFERROR(IF(K186&gt;0,H$6,""),"")</f>
        <v>0</v>
      </c>
      <c r="R186" s="264"/>
      <c r="S186" s="264"/>
      <c r="T186" s="264"/>
      <c r="U186" s="264"/>
      <c r="V186" s="264"/>
    </row>
    <row r="187" spans="1:22" x14ac:dyDescent="0.2">
      <c r="A187" s="264"/>
      <c r="B187" s="1738">
        <v>67</v>
      </c>
      <c r="C187" s="1739" t="str">
        <f t="shared" ca="1" si="30"/>
        <v/>
      </c>
      <c r="D187" s="1732" t="str">
        <f t="shared" ref="D187:D220" ca="1" si="34">IFERROR(IF(H$94&gt;=B187,
        E187,
        IF(C187="",
                "",
                IF(C188="",
                        E187+H186,
                        ROUND((H186*H$89/12)/(1-(1+H$89/12)^-(COUNTIF(C$121:C$480,"&gt;0")-B187+1)),
                               0)))),"")</f>
        <v/>
      </c>
      <c r="E187" s="1740" t="str">
        <f t="shared" ca="1" si="31"/>
        <v/>
      </c>
      <c r="F187" s="1740" t="str">
        <f t="shared" ca="1" si="25"/>
        <v/>
      </c>
      <c r="G187" s="1740"/>
      <c r="H187" s="1734" t="str">
        <f t="shared" ref="H187:H220" si="35">IF(OR(H186=0,H186=""),
        "",
        H186-F187-G187)</f>
        <v/>
      </c>
      <c r="I187" s="1735" t="str">
        <f t="shared" ca="1" si="26"/>
        <v/>
      </c>
      <c r="J187" s="1734" t="str">
        <f t="shared" ca="1" si="27"/>
        <v/>
      </c>
      <c r="K187" s="1732" t="str">
        <f t="shared" ca="1" si="28"/>
        <v/>
      </c>
      <c r="L187" s="1748" t="str">
        <f t="shared" ca="1" si="29"/>
        <v/>
      </c>
      <c r="M187" s="1740"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ca="1" si="32"/>
        <v/>
      </c>
      <c r="O187" s="264"/>
      <c r="P187" s="264"/>
      <c r="Q187" s="1690">
        <f t="shared" ca="1" si="33"/>
        <v>0</v>
      </c>
      <c r="R187" s="264"/>
      <c r="S187" s="264"/>
      <c r="T187" s="264"/>
      <c r="U187" s="264"/>
      <c r="V187" s="264"/>
    </row>
    <row r="188" spans="1:22" x14ac:dyDescent="0.2">
      <c r="A188" s="264"/>
      <c r="B188" s="1738">
        <v>68</v>
      </c>
      <c r="C188" s="1739" t="str">
        <f t="shared" ca="1" si="30"/>
        <v/>
      </c>
      <c r="D188" s="1732" t="str">
        <f t="shared" ca="1" si="34"/>
        <v/>
      </c>
      <c r="E188" s="1740" t="str">
        <f t="shared" ca="1" si="31"/>
        <v/>
      </c>
      <c r="F188" s="1740" t="str">
        <f t="shared" ca="1" si="25"/>
        <v/>
      </c>
      <c r="G188" s="1740"/>
      <c r="H188" s="1734" t="str">
        <f t="shared" si="35"/>
        <v/>
      </c>
      <c r="I188" s="1735" t="str">
        <f t="shared" ca="1" si="26"/>
        <v/>
      </c>
      <c r="J188" s="1734" t="str">
        <f t="shared" ca="1" si="27"/>
        <v/>
      </c>
      <c r="K188" s="1732" t="str">
        <f t="shared" ca="1" si="28"/>
        <v/>
      </c>
      <c r="L188" s="1748" t="str">
        <f t="shared" ca="1" si="29"/>
        <v/>
      </c>
      <c r="M188" s="1740" t="str">
        <f t="shared" ca="1" si="36"/>
        <v/>
      </c>
      <c r="N188" s="1734" t="str">
        <f t="shared" ca="1" si="32"/>
        <v/>
      </c>
      <c r="O188" s="264"/>
      <c r="P188" s="264"/>
      <c r="Q188" s="1690">
        <f t="shared" ca="1" si="33"/>
        <v>0</v>
      </c>
      <c r="R188" s="264"/>
      <c r="S188" s="264"/>
      <c r="T188" s="264"/>
      <c r="U188" s="264"/>
      <c r="V188" s="264"/>
    </row>
    <row r="189" spans="1:22" x14ac:dyDescent="0.2">
      <c r="A189" s="264"/>
      <c r="B189" s="1738">
        <v>69</v>
      </c>
      <c r="C189" s="1739" t="str">
        <f t="shared" ca="1" si="30"/>
        <v/>
      </c>
      <c r="D189" s="1732" t="str">
        <f t="shared" ca="1" si="34"/>
        <v/>
      </c>
      <c r="E189" s="1740" t="str">
        <f t="shared" ca="1" si="31"/>
        <v/>
      </c>
      <c r="F189" s="1740" t="str">
        <f t="shared" ca="1" si="25"/>
        <v/>
      </c>
      <c r="G189" s="1740"/>
      <c r="H189" s="1734" t="str">
        <f t="shared" si="35"/>
        <v/>
      </c>
      <c r="I189" s="1735" t="str">
        <f t="shared" ca="1" si="26"/>
        <v/>
      </c>
      <c r="J189" s="1734" t="str">
        <f t="shared" ca="1" si="27"/>
        <v/>
      </c>
      <c r="K189" s="1732" t="str">
        <f t="shared" ca="1" si="28"/>
        <v/>
      </c>
      <c r="L189" s="1748" t="str">
        <f t="shared" ca="1" si="29"/>
        <v/>
      </c>
      <c r="M189" s="1740" t="str">
        <f t="shared" ca="1" si="36"/>
        <v/>
      </c>
      <c r="N189" s="1734" t="str">
        <f t="shared" ca="1" si="32"/>
        <v/>
      </c>
      <c r="O189" s="264"/>
      <c r="P189" s="264"/>
      <c r="Q189" s="1690">
        <f t="shared" ca="1" si="33"/>
        <v>0</v>
      </c>
      <c r="R189" s="264"/>
      <c r="S189" s="264"/>
      <c r="T189" s="264"/>
      <c r="U189" s="264"/>
      <c r="V189" s="264"/>
    </row>
    <row r="190" spans="1:22" x14ac:dyDescent="0.2">
      <c r="A190" s="264"/>
      <c r="B190" s="1738">
        <v>70</v>
      </c>
      <c r="C190" s="1739" t="str">
        <f t="shared" ca="1" si="30"/>
        <v/>
      </c>
      <c r="D190" s="1732" t="str">
        <f t="shared" ca="1" si="34"/>
        <v/>
      </c>
      <c r="E190" s="1740" t="str">
        <f t="shared" ca="1" si="31"/>
        <v/>
      </c>
      <c r="F190" s="1740" t="str">
        <f t="shared" ca="1" si="25"/>
        <v/>
      </c>
      <c r="G190" s="1740"/>
      <c r="H190" s="1734" t="str">
        <f t="shared" si="35"/>
        <v/>
      </c>
      <c r="I190" s="1735" t="str">
        <f t="shared" ca="1" si="26"/>
        <v/>
      </c>
      <c r="J190" s="1734" t="str">
        <f t="shared" ca="1" si="27"/>
        <v/>
      </c>
      <c r="K190" s="1732" t="str">
        <f t="shared" ca="1" si="28"/>
        <v/>
      </c>
      <c r="L190" s="1748" t="str">
        <f t="shared" ca="1" si="29"/>
        <v/>
      </c>
      <c r="M190" s="1740" t="str">
        <f t="shared" ca="1" si="36"/>
        <v/>
      </c>
      <c r="N190" s="1734" t="str">
        <f t="shared" ca="1" si="32"/>
        <v/>
      </c>
      <c r="O190" s="264"/>
      <c r="P190" s="264"/>
      <c r="Q190" s="1690">
        <f t="shared" ca="1" si="33"/>
        <v>0</v>
      </c>
      <c r="R190" s="264"/>
      <c r="S190" s="264"/>
      <c r="T190" s="264"/>
      <c r="U190" s="264"/>
      <c r="V190" s="264"/>
    </row>
    <row r="191" spans="1:22" x14ac:dyDescent="0.2">
      <c r="A191" s="264"/>
      <c r="B191" s="1738">
        <v>71</v>
      </c>
      <c r="C191" s="1739" t="str">
        <f t="shared" ca="1" si="30"/>
        <v/>
      </c>
      <c r="D191" s="1732" t="str">
        <f t="shared" ca="1" si="34"/>
        <v/>
      </c>
      <c r="E191" s="1740" t="str">
        <f t="shared" ca="1" si="31"/>
        <v/>
      </c>
      <c r="F191" s="1740" t="str">
        <f t="shared" ca="1" si="25"/>
        <v/>
      </c>
      <c r="G191" s="1740"/>
      <c r="H191" s="1734" t="str">
        <f t="shared" si="35"/>
        <v/>
      </c>
      <c r="I191" s="1735" t="str">
        <f t="shared" ca="1" si="26"/>
        <v/>
      </c>
      <c r="J191" s="1734" t="str">
        <f t="shared" ca="1" si="27"/>
        <v/>
      </c>
      <c r="K191" s="1732" t="str">
        <f t="shared" ca="1" si="28"/>
        <v/>
      </c>
      <c r="L191" s="1748" t="str">
        <f t="shared" ca="1" si="29"/>
        <v/>
      </c>
      <c r="M191" s="1740" t="str">
        <f t="shared" ca="1" si="36"/>
        <v/>
      </c>
      <c r="N191" s="1734" t="str">
        <f t="shared" ca="1" si="32"/>
        <v/>
      </c>
      <c r="O191" s="264"/>
      <c r="P191" s="264"/>
      <c r="Q191" s="1690">
        <f t="shared" ca="1" si="33"/>
        <v>0</v>
      </c>
      <c r="R191" s="264"/>
      <c r="S191" s="264"/>
      <c r="T191" s="264"/>
      <c r="U191" s="264"/>
      <c r="V191" s="264"/>
    </row>
    <row r="192" spans="1:22" x14ac:dyDescent="0.2">
      <c r="A192" s="264"/>
      <c r="B192" s="1738">
        <v>72</v>
      </c>
      <c r="C192" s="1739" t="str">
        <f t="shared" ca="1" si="30"/>
        <v/>
      </c>
      <c r="D192" s="1732" t="str">
        <f t="shared" ca="1" si="34"/>
        <v/>
      </c>
      <c r="E192" s="1740" t="str">
        <f t="shared" ca="1" si="31"/>
        <v/>
      </c>
      <c r="F192" s="1740" t="str">
        <f t="shared" ca="1" si="25"/>
        <v/>
      </c>
      <c r="G192" s="1740"/>
      <c r="H192" s="1734" t="str">
        <f t="shared" si="35"/>
        <v/>
      </c>
      <c r="I192" s="1735" t="str">
        <f t="shared" ca="1" si="26"/>
        <v/>
      </c>
      <c r="J192" s="1734" t="str">
        <f t="shared" ca="1" si="27"/>
        <v/>
      </c>
      <c r="K192" s="1732" t="str">
        <f t="shared" ca="1" si="28"/>
        <v/>
      </c>
      <c r="L192" s="1748" t="str">
        <f t="shared" ca="1" si="29"/>
        <v/>
      </c>
      <c r="M192" s="1740" t="str">
        <f t="shared" ca="1" si="36"/>
        <v/>
      </c>
      <c r="N192" s="1734" t="str">
        <f t="shared" ca="1" si="32"/>
        <v/>
      </c>
      <c r="O192" s="264"/>
      <c r="P192" s="264"/>
      <c r="Q192" s="1690">
        <f t="shared" ca="1" si="33"/>
        <v>0</v>
      </c>
      <c r="R192" s="264"/>
      <c r="S192" s="264"/>
      <c r="T192" s="264"/>
      <c r="U192" s="264"/>
      <c r="V192" s="264"/>
    </row>
    <row r="193" spans="1:22" x14ac:dyDescent="0.2">
      <c r="A193" s="264"/>
      <c r="B193" s="1738">
        <v>73</v>
      </c>
      <c r="C193" s="1739" t="str">
        <f t="shared" ca="1" si="30"/>
        <v/>
      </c>
      <c r="D193" s="1732" t="str">
        <f t="shared" ca="1" si="34"/>
        <v/>
      </c>
      <c r="E193" s="1740" t="str">
        <f t="shared" ca="1" si="31"/>
        <v/>
      </c>
      <c r="F193" s="1740" t="str">
        <f t="shared" ca="1" si="25"/>
        <v/>
      </c>
      <c r="G193" s="1740"/>
      <c r="H193" s="1734" t="str">
        <f t="shared" si="35"/>
        <v/>
      </c>
      <c r="I193" s="1735" t="str">
        <f t="shared" ca="1" si="26"/>
        <v/>
      </c>
      <c r="J193" s="1734" t="str">
        <f t="shared" ca="1" si="27"/>
        <v/>
      </c>
      <c r="K193" s="1732" t="str">
        <f t="shared" ca="1" si="28"/>
        <v/>
      </c>
      <c r="L193" s="1748" t="str">
        <f t="shared" ca="1" si="29"/>
        <v/>
      </c>
      <c r="M193" s="1740" t="str">
        <f t="shared" ca="1" si="36"/>
        <v/>
      </c>
      <c r="N193" s="1734" t="str">
        <f t="shared" ca="1" si="32"/>
        <v/>
      </c>
      <c r="O193" s="264"/>
      <c r="P193" s="264"/>
      <c r="Q193" s="1690">
        <f t="shared" ca="1" si="33"/>
        <v>0</v>
      </c>
      <c r="R193" s="264"/>
      <c r="S193" s="264"/>
      <c r="T193" s="264"/>
      <c r="U193" s="264"/>
      <c r="V193" s="264"/>
    </row>
    <row r="194" spans="1:22" x14ac:dyDescent="0.2">
      <c r="A194" s="264"/>
      <c r="B194" s="1738">
        <v>74</v>
      </c>
      <c r="C194" s="1739" t="str">
        <f t="shared" ca="1" si="30"/>
        <v/>
      </c>
      <c r="D194" s="1732" t="str">
        <f t="shared" ca="1" si="34"/>
        <v/>
      </c>
      <c r="E194" s="1740" t="str">
        <f t="shared" ca="1" si="31"/>
        <v/>
      </c>
      <c r="F194" s="1740" t="str">
        <f t="shared" ca="1" si="25"/>
        <v/>
      </c>
      <c r="G194" s="1740"/>
      <c r="H194" s="1734" t="str">
        <f t="shared" si="35"/>
        <v/>
      </c>
      <c r="I194" s="1735" t="str">
        <f t="shared" ca="1" si="26"/>
        <v/>
      </c>
      <c r="J194" s="1734" t="str">
        <f t="shared" ca="1" si="27"/>
        <v/>
      </c>
      <c r="K194" s="1732" t="str">
        <f t="shared" ca="1" si="28"/>
        <v/>
      </c>
      <c r="L194" s="1748" t="str">
        <f t="shared" ca="1" si="29"/>
        <v/>
      </c>
      <c r="M194" s="1740" t="str">
        <f t="shared" ca="1" si="36"/>
        <v/>
      </c>
      <c r="N194" s="1734" t="str">
        <f t="shared" ca="1" si="32"/>
        <v/>
      </c>
      <c r="O194" s="264"/>
      <c r="P194" s="264"/>
      <c r="Q194" s="1690">
        <f t="shared" ca="1" si="33"/>
        <v>0</v>
      </c>
      <c r="R194" s="264"/>
      <c r="S194" s="264"/>
      <c r="T194" s="264"/>
      <c r="U194" s="264"/>
      <c r="V194" s="264"/>
    </row>
    <row r="195" spans="1:22" x14ac:dyDescent="0.2">
      <c r="A195" s="264"/>
      <c r="B195" s="1738">
        <v>75</v>
      </c>
      <c r="C195" s="1739" t="str">
        <f t="shared" ca="1" si="30"/>
        <v/>
      </c>
      <c r="D195" s="1732" t="str">
        <f t="shared" ca="1" si="34"/>
        <v/>
      </c>
      <c r="E195" s="1740" t="str">
        <f t="shared" ca="1" si="31"/>
        <v/>
      </c>
      <c r="F195" s="1740" t="str">
        <f t="shared" ca="1" si="25"/>
        <v/>
      </c>
      <c r="G195" s="1740"/>
      <c r="H195" s="1734" t="str">
        <f t="shared" si="35"/>
        <v/>
      </c>
      <c r="I195" s="1735" t="str">
        <f t="shared" ca="1" si="26"/>
        <v/>
      </c>
      <c r="J195" s="1734" t="str">
        <f t="shared" ca="1" si="27"/>
        <v/>
      </c>
      <c r="K195" s="1732" t="str">
        <f t="shared" ca="1" si="28"/>
        <v/>
      </c>
      <c r="L195" s="1748" t="str">
        <f t="shared" ca="1" si="29"/>
        <v/>
      </c>
      <c r="M195" s="1740" t="str">
        <f t="shared" ca="1" si="36"/>
        <v/>
      </c>
      <c r="N195" s="1734" t="str">
        <f t="shared" ca="1" si="32"/>
        <v/>
      </c>
      <c r="O195" s="264"/>
      <c r="P195" s="264"/>
      <c r="Q195" s="1690">
        <f t="shared" ca="1" si="33"/>
        <v>0</v>
      </c>
      <c r="R195" s="264"/>
      <c r="S195" s="264"/>
      <c r="T195" s="264"/>
      <c r="U195" s="264"/>
      <c r="V195" s="264"/>
    </row>
    <row r="196" spans="1:22" x14ac:dyDescent="0.2">
      <c r="A196" s="264"/>
      <c r="B196" s="1738">
        <v>76</v>
      </c>
      <c r="C196" s="1739" t="str">
        <f t="shared" ca="1" si="30"/>
        <v/>
      </c>
      <c r="D196" s="1732" t="str">
        <f t="shared" ca="1" si="34"/>
        <v/>
      </c>
      <c r="E196" s="1740" t="str">
        <f t="shared" ca="1" si="31"/>
        <v/>
      </c>
      <c r="F196" s="1740" t="str">
        <f t="shared" ca="1" si="25"/>
        <v/>
      </c>
      <c r="G196" s="1740"/>
      <c r="H196" s="1734" t="str">
        <f t="shared" si="35"/>
        <v/>
      </c>
      <c r="I196" s="1735" t="str">
        <f t="shared" ca="1" si="26"/>
        <v/>
      </c>
      <c r="J196" s="1734" t="str">
        <f t="shared" ca="1" si="27"/>
        <v/>
      </c>
      <c r="K196" s="1732" t="str">
        <f t="shared" ca="1" si="28"/>
        <v/>
      </c>
      <c r="L196" s="1748" t="str">
        <f t="shared" ca="1" si="29"/>
        <v/>
      </c>
      <c r="M196" s="1740" t="str">
        <f t="shared" ca="1" si="36"/>
        <v/>
      </c>
      <c r="N196" s="1734" t="str">
        <f t="shared" ca="1" si="32"/>
        <v/>
      </c>
      <c r="O196" s="264"/>
      <c r="P196" s="264"/>
      <c r="Q196" s="1690">
        <f t="shared" ca="1" si="33"/>
        <v>0</v>
      </c>
      <c r="R196" s="264"/>
      <c r="S196" s="264"/>
      <c r="T196" s="264"/>
      <c r="U196" s="264"/>
      <c r="V196" s="264"/>
    </row>
    <row r="197" spans="1:22" x14ac:dyDescent="0.2">
      <c r="A197" s="264"/>
      <c r="B197" s="1738">
        <v>77</v>
      </c>
      <c r="C197" s="1739" t="str">
        <f t="shared" ca="1" si="30"/>
        <v/>
      </c>
      <c r="D197" s="1732" t="str">
        <f t="shared" ca="1" si="34"/>
        <v/>
      </c>
      <c r="E197" s="1740" t="str">
        <f t="shared" ca="1" si="31"/>
        <v/>
      </c>
      <c r="F197" s="1740" t="str">
        <f t="shared" ca="1" si="25"/>
        <v/>
      </c>
      <c r="G197" s="1740"/>
      <c r="H197" s="1734" t="str">
        <f t="shared" si="35"/>
        <v/>
      </c>
      <c r="I197" s="1735" t="str">
        <f t="shared" ca="1" si="26"/>
        <v/>
      </c>
      <c r="J197" s="1734" t="str">
        <f t="shared" ca="1" si="27"/>
        <v/>
      </c>
      <c r="K197" s="1732" t="str">
        <f t="shared" ca="1" si="28"/>
        <v/>
      </c>
      <c r="L197" s="1748" t="str">
        <f t="shared" ca="1" si="29"/>
        <v/>
      </c>
      <c r="M197" s="1740" t="str">
        <f t="shared" ca="1" si="36"/>
        <v/>
      </c>
      <c r="N197" s="1734" t="str">
        <f t="shared" ca="1" si="32"/>
        <v/>
      </c>
      <c r="O197" s="264"/>
      <c r="P197" s="264"/>
      <c r="Q197" s="1690">
        <f t="shared" ca="1" si="33"/>
        <v>0</v>
      </c>
      <c r="R197" s="264"/>
      <c r="S197" s="264"/>
      <c r="T197" s="264"/>
      <c r="U197" s="264"/>
      <c r="V197" s="264"/>
    </row>
    <row r="198" spans="1:22" x14ac:dyDescent="0.2">
      <c r="A198" s="264"/>
      <c r="B198" s="1738">
        <v>78</v>
      </c>
      <c r="C198" s="1739" t="str">
        <f t="shared" ca="1" si="30"/>
        <v/>
      </c>
      <c r="D198" s="1732" t="str">
        <f t="shared" ca="1" si="34"/>
        <v/>
      </c>
      <c r="E198" s="1740" t="str">
        <f t="shared" ca="1" si="31"/>
        <v/>
      </c>
      <c r="F198" s="1740" t="str">
        <f t="shared" ca="1" si="25"/>
        <v/>
      </c>
      <c r="G198" s="1740"/>
      <c r="H198" s="1734" t="str">
        <f t="shared" si="35"/>
        <v/>
      </c>
      <c r="I198" s="1735" t="str">
        <f t="shared" ca="1" si="26"/>
        <v/>
      </c>
      <c r="J198" s="1734" t="str">
        <f t="shared" ca="1" si="27"/>
        <v/>
      </c>
      <c r="K198" s="1732" t="str">
        <f t="shared" ca="1" si="28"/>
        <v/>
      </c>
      <c r="L198" s="1748" t="str">
        <f t="shared" ca="1" si="29"/>
        <v/>
      </c>
      <c r="M198" s="1740" t="str">
        <f t="shared" ca="1" si="36"/>
        <v/>
      </c>
      <c r="N198" s="1734" t="str">
        <f t="shared" ca="1" si="32"/>
        <v/>
      </c>
      <c r="O198" s="264"/>
      <c r="P198" s="264"/>
      <c r="Q198" s="1690">
        <f t="shared" ca="1" si="33"/>
        <v>0</v>
      </c>
      <c r="R198" s="264"/>
      <c r="S198" s="264"/>
      <c r="T198" s="264"/>
      <c r="U198" s="264"/>
      <c r="V198" s="264"/>
    </row>
    <row r="199" spans="1:22" x14ac:dyDescent="0.2">
      <c r="A199" s="264"/>
      <c r="B199" s="1738">
        <v>79</v>
      </c>
      <c r="C199" s="1739" t="str">
        <f t="shared" ca="1" si="30"/>
        <v/>
      </c>
      <c r="D199" s="1732" t="str">
        <f t="shared" ca="1" si="34"/>
        <v/>
      </c>
      <c r="E199" s="1740" t="str">
        <f t="shared" ca="1" si="31"/>
        <v/>
      </c>
      <c r="F199" s="1740" t="str">
        <f t="shared" ca="1" si="25"/>
        <v/>
      </c>
      <c r="G199" s="1740"/>
      <c r="H199" s="1734" t="str">
        <f t="shared" si="35"/>
        <v/>
      </c>
      <c r="I199" s="1735" t="str">
        <f t="shared" ca="1" si="26"/>
        <v/>
      </c>
      <c r="J199" s="1734" t="str">
        <f t="shared" ca="1" si="27"/>
        <v/>
      </c>
      <c r="K199" s="1732" t="str">
        <f t="shared" ca="1" si="28"/>
        <v/>
      </c>
      <c r="L199" s="1748" t="str">
        <f t="shared" ca="1" si="29"/>
        <v/>
      </c>
      <c r="M199" s="1740" t="str">
        <f t="shared" ca="1" si="36"/>
        <v/>
      </c>
      <c r="N199" s="1734" t="str">
        <f t="shared" ca="1" si="32"/>
        <v/>
      </c>
      <c r="O199" s="264"/>
      <c r="P199" s="264"/>
      <c r="Q199" s="1690">
        <f t="shared" ca="1" si="33"/>
        <v>0</v>
      </c>
      <c r="R199" s="264"/>
      <c r="S199" s="264"/>
      <c r="T199" s="264"/>
      <c r="U199" s="264"/>
      <c r="V199" s="264"/>
    </row>
    <row r="200" spans="1:22" x14ac:dyDescent="0.2">
      <c r="A200" s="264"/>
      <c r="B200" s="1738">
        <v>80</v>
      </c>
      <c r="C200" s="1739" t="str">
        <f t="shared" ca="1" si="30"/>
        <v/>
      </c>
      <c r="D200" s="1732" t="str">
        <f t="shared" ca="1" si="34"/>
        <v/>
      </c>
      <c r="E200" s="1740" t="str">
        <f t="shared" ca="1" si="31"/>
        <v/>
      </c>
      <c r="F200" s="1740" t="str">
        <f t="shared" ca="1" si="25"/>
        <v/>
      </c>
      <c r="G200" s="1740"/>
      <c r="H200" s="1734" t="str">
        <f t="shared" si="35"/>
        <v/>
      </c>
      <c r="I200" s="1735" t="str">
        <f t="shared" ca="1" si="26"/>
        <v/>
      </c>
      <c r="J200" s="1734" t="str">
        <f t="shared" ca="1" si="27"/>
        <v/>
      </c>
      <c r="K200" s="1732" t="str">
        <f t="shared" ca="1" si="28"/>
        <v/>
      </c>
      <c r="L200" s="1748" t="str">
        <f t="shared" ca="1" si="29"/>
        <v/>
      </c>
      <c r="M200" s="1740" t="str">
        <f t="shared" ca="1" si="36"/>
        <v/>
      </c>
      <c r="N200" s="1734" t="str">
        <f t="shared" ca="1" si="32"/>
        <v/>
      </c>
      <c r="O200" s="264"/>
      <c r="P200" s="264"/>
      <c r="Q200" s="1690">
        <f t="shared" ca="1" si="33"/>
        <v>0</v>
      </c>
      <c r="R200" s="264"/>
      <c r="S200" s="264"/>
      <c r="T200" s="264"/>
      <c r="U200" s="264"/>
      <c r="V200" s="264"/>
    </row>
    <row r="201" spans="1:22" x14ac:dyDescent="0.2">
      <c r="A201" s="264"/>
      <c r="B201" s="1738">
        <v>81</v>
      </c>
      <c r="C201" s="1739" t="str">
        <f t="shared" ca="1" si="30"/>
        <v/>
      </c>
      <c r="D201" s="1732" t="str">
        <f t="shared" ca="1" si="34"/>
        <v/>
      </c>
      <c r="E201" s="1740" t="str">
        <f t="shared" ca="1" si="31"/>
        <v/>
      </c>
      <c r="F201" s="1740" t="str">
        <f t="shared" ca="1" si="25"/>
        <v/>
      </c>
      <c r="G201" s="1740"/>
      <c r="H201" s="1734" t="str">
        <f t="shared" si="35"/>
        <v/>
      </c>
      <c r="I201" s="1735" t="str">
        <f t="shared" ca="1" si="26"/>
        <v/>
      </c>
      <c r="J201" s="1734" t="str">
        <f t="shared" ca="1" si="27"/>
        <v/>
      </c>
      <c r="K201" s="1732" t="str">
        <f t="shared" ca="1" si="28"/>
        <v/>
      </c>
      <c r="L201" s="1748" t="str">
        <f t="shared" ca="1" si="29"/>
        <v/>
      </c>
      <c r="M201" s="1740" t="str">
        <f t="shared" ca="1" si="36"/>
        <v/>
      </c>
      <c r="N201" s="1734" t="str">
        <f t="shared" ca="1" si="32"/>
        <v/>
      </c>
      <c r="O201" s="264"/>
      <c r="P201" s="264"/>
      <c r="Q201" s="1690">
        <f t="shared" ca="1" si="33"/>
        <v>0</v>
      </c>
      <c r="R201" s="264"/>
      <c r="S201" s="264"/>
      <c r="T201" s="264"/>
      <c r="U201" s="264"/>
      <c r="V201" s="264"/>
    </row>
    <row r="202" spans="1:22" x14ac:dyDescent="0.2">
      <c r="A202" s="264"/>
      <c r="B202" s="1738">
        <v>82</v>
      </c>
      <c r="C202" s="1739" t="str">
        <f t="shared" ca="1" si="30"/>
        <v/>
      </c>
      <c r="D202" s="1732" t="str">
        <f t="shared" ca="1" si="34"/>
        <v/>
      </c>
      <c r="E202" s="1740" t="str">
        <f t="shared" ca="1" si="31"/>
        <v/>
      </c>
      <c r="F202" s="1740" t="str">
        <f t="shared" ca="1" si="25"/>
        <v/>
      </c>
      <c r="G202" s="1740"/>
      <c r="H202" s="1734" t="str">
        <f t="shared" si="35"/>
        <v/>
      </c>
      <c r="I202" s="1735" t="str">
        <f t="shared" ca="1" si="26"/>
        <v/>
      </c>
      <c r="J202" s="1734" t="str">
        <f t="shared" ca="1" si="27"/>
        <v/>
      </c>
      <c r="K202" s="1732" t="str">
        <f t="shared" ca="1" si="28"/>
        <v/>
      </c>
      <c r="L202" s="1748" t="str">
        <f t="shared" ca="1" si="29"/>
        <v/>
      </c>
      <c r="M202" s="1740" t="str">
        <f t="shared" ca="1" si="36"/>
        <v/>
      </c>
      <c r="N202" s="1734" t="str">
        <f t="shared" ca="1" si="32"/>
        <v/>
      </c>
      <c r="O202" s="264"/>
      <c r="P202" s="264"/>
      <c r="Q202" s="1690">
        <f t="shared" ca="1" si="33"/>
        <v>0</v>
      </c>
      <c r="R202" s="264"/>
      <c r="S202" s="264"/>
      <c r="T202" s="264"/>
      <c r="U202" s="264"/>
      <c r="V202" s="264"/>
    </row>
    <row r="203" spans="1:22" x14ac:dyDescent="0.2">
      <c r="A203" s="264"/>
      <c r="B203" s="1738">
        <v>83</v>
      </c>
      <c r="C203" s="1739" t="str">
        <f t="shared" ca="1" si="30"/>
        <v/>
      </c>
      <c r="D203" s="1732" t="str">
        <f t="shared" ca="1" si="34"/>
        <v/>
      </c>
      <c r="E203" s="1740" t="str">
        <f t="shared" ca="1" si="31"/>
        <v/>
      </c>
      <c r="F203" s="1740" t="str">
        <f t="shared" ca="1" si="25"/>
        <v/>
      </c>
      <c r="G203" s="1740"/>
      <c r="H203" s="1734" t="str">
        <f t="shared" si="35"/>
        <v/>
      </c>
      <c r="I203" s="1735" t="str">
        <f t="shared" ca="1" si="26"/>
        <v/>
      </c>
      <c r="J203" s="1734" t="str">
        <f t="shared" ca="1" si="27"/>
        <v/>
      </c>
      <c r="K203" s="1732" t="str">
        <f t="shared" ca="1" si="28"/>
        <v/>
      </c>
      <c r="L203" s="1748" t="str">
        <f t="shared" ca="1" si="29"/>
        <v/>
      </c>
      <c r="M203" s="1740" t="str">
        <f t="shared" ca="1" si="36"/>
        <v/>
      </c>
      <c r="N203" s="1734" t="str">
        <f t="shared" ca="1" si="32"/>
        <v/>
      </c>
      <c r="O203" s="264"/>
      <c r="P203" s="264"/>
      <c r="Q203" s="1690">
        <f t="shared" ca="1" si="33"/>
        <v>0</v>
      </c>
      <c r="R203" s="264"/>
      <c r="S203" s="264"/>
      <c r="T203" s="264"/>
      <c r="U203" s="264"/>
      <c r="V203" s="264"/>
    </row>
    <row r="204" spans="1:22" x14ac:dyDescent="0.2">
      <c r="A204" s="264"/>
      <c r="B204" s="1738">
        <v>84</v>
      </c>
      <c r="C204" s="1739" t="str">
        <f t="shared" ca="1" si="30"/>
        <v/>
      </c>
      <c r="D204" s="1732" t="str">
        <f t="shared" ca="1" si="34"/>
        <v/>
      </c>
      <c r="E204" s="1740" t="str">
        <f t="shared" ca="1" si="31"/>
        <v/>
      </c>
      <c r="F204" s="1740" t="str">
        <f t="shared" ca="1" si="25"/>
        <v/>
      </c>
      <c r="G204" s="1740"/>
      <c r="H204" s="1734" t="str">
        <f t="shared" si="35"/>
        <v/>
      </c>
      <c r="I204" s="1735" t="str">
        <f t="shared" ca="1" si="26"/>
        <v/>
      </c>
      <c r="J204" s="1734" t="str">
        <f t="shared" ca="1" si="27"/>
        <v/>
      </c>
      <c r="K204" s="1732" t="str">
        <f t="shared" ca="1" si="28"/>
        <v/>
      </c>
      <c r="L204" s="1748" t="str">
        <f t="shared" ca="1" si="29"/>
        <v/>
      </c>
      <c r="M204" s="1740" t="str">
        <f t="shared" ca="1" si="36"/>
        <v/>
      </c>
      <c r="N204" s="1734" t="str">
        <f t="shared" ca="1" si="32"/>
        <v/>
      </c>
      <c r="O204" s="264"/>
      <c r="P204" s="264"/>
      <c r="Q204" s="1690">
        <f t="shared" ca="1" si="33"/>
        <v>0</v>
      </c>
      <c r="R204" s="264"/>
      <c r="S204" s="264"/>
      <c r="T204" s="264"/>
      <c r="U204" s="264"/>
      <c r="V204" s="264"/>
    </row>
    <row r="205" spans="1:22" x14ac:dyDescent="0.2">
      <c r="A205" s="264"/>
      <c r="B205" s="1738">
        <v>85</v>
      </c>
      <c r="C205" s="1739" t="str">
        <f t="shared" ca="1" si="30"/>
        <v/>
      </c>
      <c r="D205" s="1732" t="str">
        <f t="shared" ca="1" si="34"/>
        <v/>
      </c>
      <c r="E205" s="1740" t="str">
        <f t="shared" ca="1" si="31"/>
        <v/>
      </c>
      <c r="F205" s="1740" t="str">
        <f t="shared" ca="1" si="25"/>
        <v/>
      </c>
      <c r="G205" s="1740"/>
      <c r="H205" s="1734" t="str">
        <f t="shared" si="35"/>
        <v/>
      </c>
      <c r="I205" s="1735" t="str">
        <f t="shared" ca="1" si="26"/>
        <v/>
      </c>
      <c r="J205" s="1734" t="str">
        <f t="shared" ca="1" si="27"/>
        <v/>
      </c>
      <c r="K205" s="1732" t="str">
        <f t="shared" ca="1" si="28"/>
        <v/>
      </c>
      <c r="L205" s="1748" t="str">
        <f t="shared" ca="1" si="29"/>
        <v/>
      </c>
      <c r="M205" s="1740" t="str">
        <f t="shared" ca="1" si="36"/>
        <v/>
      </c>
      <c r="N205" s="1734" t="str">
        <f t="shared" ca="1" si="32"/>
        <v/>
      </c>
      <c r="O205" s="264"/>
      <c r="P205" s="264"/>
      <c r="Q205" s="1690">
        <f t="shared" ca="1" si="33"/>
        <v>0</v>
      </c>
      <c r="R205" s="264"/>
      <c r="S205" s="264"/>
      <c r="T205" s="264"/>
      <c r="U205" s="264"/>
      <c r="V205" s="264"/>
    </row>
    <row r="206" spans="1:22" x14ac:dyDescent="0.2">
      <c r="A206" s="264"/>
      <c r="B206" s="1738">
        <v>86</v>
      </c>
      <c r="C206" s="1739" t="str">
        <f t="shared" ca="1" si="30"/>
        <v/>
      </c>
      <c r="D206" s="1732" t="str">
        <f t="shared" ca="1" si="34"/>
        <v/>
      </c>
      <c r="E206" s="1740" t="str">
        <f t="shared" ca="1" si="31"/>
        <v/>
      </c>
      <c r="F206" s="1740" t="str">
        <f t="shared" ca="1" si="25"/>
        <v/>
      </c>
      <c r="G206" s="1740"/>
      <c r="H206" s="1734" t="str">
        <f t="shared" si="35"/>
        <v/>
      </c>
      <c r="I206" s="1735" t="str">
        <f t="shared" ca="1" si="26"/>
        <v/>
      </c>
      <c r="J206" s="1734" t="str">
        <f t="shared" ca="1" si="27"/>
        <v/>
      </c>
      <c r="K206" s="1732" t="str">
        <f t="shared" ca="1" si="28"/>
        <v/>
      </c>
      <c r="L206" s="1748" t="str">
        <f t="shared" ca="1" si="29"/>
        <v/>
      </c>
      <c r="M206" s="1740" t="str">
        <f t="shared" ca="1" si="36"/>
        <v/>
      </c>
      <c r="N206" s="1734" t="str">
        <f t="shared" ca="1" si="32"/>
        <v/>
      </c>
      <c r="O206" s="264"/>
      <c r="P206" s="264"/>
      <c r="Q206" s="1690">
        <f t="shared" ca="1" si="33"/>
        <v>0</v>
      </c>
      <c r="R206" s="264"/>
      <c r="S206" s="264"/>
      <c r="T206" s="264"/>
      <c r="U206" s="264"/>
      <c r="V206" s="264"/>
    </row>
    <row r="207" spans="1:22" x14ac:dyDescent="0.2">
      <c r="A207" s="264"/>
      <c r="B207" s="1738">
        <v>87</v>
      </c>
      <c r="C207" s="1739" t="str">
        <f t="shared" ca="1" si="30"/>
        <v/>
      </c>
      <c r="D207" s="1732" t="str">
        <f t="shared" ca="1" si="34"/>
        <v/>
      </c>
      <c r="E207" s="1740" t="str">
        <f t="shared" ca="1" si="31"/>
        <v/>
      </c>
      <c r="F207" s="1740" t="str">
        <f t="shared" ca="1" si="25"/>
        <v/>
      </c>
      <c r="G207" s="1740"/>
      <c r="H207" s="1734" t="str">
        <f t="shared" si="35"/>
        <v/>
      </c>
      <c r="I207" s="1735" t="str">
        <f t="shared" ca="1" si="26"/>
        <v/>
      </c>
      <c r="J207" s="1734" t="str">
        <f t="shared" ca="1" si="27"/>
        <v/>
      </c>
      <c r="K207" s="1732" t="str">
        <f t="shared" ca="1" si="28"/>
        <v/>
      </c>
      <c r="L207" s="1748" t="str">
        <f t="shared" ca="1" si="29"/>
        <v/>
      </c>
      <c r="M207" s="1740" t="str">
        <f t="shared" ca="1" si="36"/>
        <v/>
      </c>
      <c r="N207" s="1734" t="str">
        <f t="shared" ca="1" si="32"/>
        <v/>
      </c>
      <c r="O207" s="264"/>
      <c r="P207" s="264"/>
      <c r="Q207" s="1690">
        <f t="shared" ca="1" si="33"/>
        <v>0</v>
      </c>
      <c r="R207" s="264"/>
      <c r="S207" s="264"/>
      <c r="T207" s="264"/>
      <c r="U207" s="264"/>
      <c r="V207" s="264"/>
    </row>
    <row r="208" spans="1:22" x14ac:dyDescent="0.2">
      <c r="A208" s="264"/>
      <c r="B208" s="1738">
        <v>88</v>
      </c>
      <c r="C208" s="1739" t="str">
        <f t="shared" ca="1" si="30"/>
        <v/>
      </c>
      <c r="D208" s="1732" t="str">
        <f t="shared" ca="1" si="34"/>
        <v/>
      </c>
      <c r="E208" s="1740" t="str">
        <f t="shared" ca="1" si="31"/>
        <v/>
      </c>
      <c r="F208" s="1740" t="str">
        <f t="shared" ca="1" si="25"/>
        <v/>
      </c>
      <c r="G208" s="1740"/>
      <c r="H208" s="1734" t="str">
        <f t="shared" si="35"/>
        <v/>
      </c>
      <c r="I208" s="1735" t="str">
        <f t="shared" ca="1" si="26"/>
        <v/>
      </c>
      <c r="J208" s="1734" t="str">
        <f t="shared" ca="1" si="27"/>
        <v/>
      </c>
      <c r="K208" s="1732" t="str">
        <f t="shared" ca="1" si="28"/>
        <v/>
      </c>
      <c r="L208" s="1748" t="str">
        <f t="shared" ca="1" si="29"/>
        <v/>
      </c>
      <c r="M208" s="1740" t="str">
        <f t="shared" ca="1" si="36"/>
        <v/>
      </c>
      <c r="N208" s="1734" t="str">
        <f t="shared" ca="1" si="32"/>
        <v/>
      </c>
      <c r="O208" s="264"/>
      <c r="P208" s="264"/>
      <c r="Q208" s="1690">
        <f t="shared" ca="1" si="33"/>
        <v>0</v>
      </c>
      <c r="R208" s="264"/>
      <c r="S208" s="264"/>
      <c r="T208" s="264"/>
      <c r="U208" s="264"/>
      <c r="V208" s="264"/>
    </row>
    <row r="209" spans="1:22" x14ac:dyDescent="0.2">
      <c r="A209" s="264"/>
      <c r="B209" s="1738">
        <v>89</v>
      </c>
      <c r="C209" s="1739" t="str">
        <f t="shared" ca="1" si="30"/>
        <v/>
      </c>
      <c r="D209" s="1732" t="str">
        <f t="shared" ca="1" si="34"/>
        <v/>
      </c>
      <c r="E209" s="1740" t="str">
        <f t="shared" ca="1" si="31"/>
        <v/>
      </c>
      <c r="F209" s="1740" t="str">
        <f t="shared" ca="1" si="25"/>
        <v/>
      </c>
      <c r="G209" s="1740"/>
      <c r="H209" s="1734" t="str">
        <f t="shared" si="35"/>
        <v/>
      </c>
      <c r="I209" s="1735" t="str">
        <f t="shared" ca="1" si="26"/>
        <v/>
      </c>
      <c r="J209" s="1734" t="str">
        <f t="shared" ca="1" si="27"/>
        <v/>
      </c>
      <c r="K209" s="1732" t="str">
        <f t="shared" ca="1" si="28"/>
        <v/>
      </c>
      <c r="L209" s="1748" t="str">
        <f t="shared" ca="1" si="29"/>
        <v/>
      </c>
      <c r="M209" s="1740" t="str">
        <f t="shared" ca="1" si="36"/>
        <v/>
      </c>
      <c r="N209" s="1734" t="str">
        <f t="shared" ca="1" si="32"/>
        <v/>
      </c>
      <c r="O209" s="264"/>
      <c r="P209" s="264"/>
      <c r="Q209" s="1690">
        <f t="shared" ca="1" si="33"/>
        <v>0</v>
      </c>
      <c r="R209" s="264"/>
      <c r="S209" s="264"/>
      <c r="T209" s="264"/>
      <c r="U209" s="264"/>
      <c r="V209" s="264"/>
    </row>
    <row r="210" spans="1:22" x14ac:dyDescent="0.2">
      <c r="A210" s="264"/>
      <c r="B210" s="1738">
        <v>90</v>
      </c>
      <c r="C210" s="1739" t="str">
        <f t="shared" ca="1" si="30"/>
        <v/>
      </c>
      <c r="D210" s="1732" t="str">
        <f t="shared" ca="1" si="34"/>
        <v/>
      </c>
      <c r="E210" s="1740" t="str">
        <f t="shared" ca="1" si="31"/>
        <v/>
      </c>
      <c r="F210" s="1740" t="str">
        <f t="shared" ca="1" si="25"/>
        <v/>
      </c>
      <c r="G210" s="1740"/>
      <c r="H210" s="1734" t="str">
        <f t="shared" si="35"/>
        <v/>
      </c>
      <c r="I210" s="1735" t="str">
        <f t="shared" ca="1" si="26"/>
        <v/>
      </c>
      <c r="J210" s="1734" t="str">
        <f t="shared" ca="1" si="27"/>
        <v/>
      </c>
      <c r="K210" s="1732" t="str">
        <f t="shared" ca="1" si="28"/>
        <v/>
      </c>
      <c r="L210" s="1748" t="str">
        <f t="shared" ca="1" si="29"/>
        <v/>
      </c>
      <c r="M210" s="1740" t="str">
        <f t="shared" ca="1" si="36"/>
        <v/>
      </c>
      <c r="N210" s="1734" t="str">
        <f t="shared" ca="1" si="32"/>
        <v/>
      </c>
      <c r="O210" s="264"/>
      <c r="P210" s="264"/>
      <c r="Q210" s="1690">
        <f t="shared" ca="1" si="33"/>
        <v>0</v>
      </c>
      <c r="R210" s="264"/>
      <c r="S210" s="264"/>
      <c r="T210" s="264"/>
      <c r="U210" s="264"/>
      <c r="V210" s="264"/>
    </row>
    <row r="211" spans="1:22" x14ac:dyDescent="0.2">
      <c r="A211" s="264"/>
      <c r="B211" s="1738">
        <v>91</v>
      </c>
      <c r="C211" s="1739" t="str">
        <f t="shared" ca="1" si="30"/>
        <v/>
      </c>
      <c r="D211" s="1732" t="str">
        <f t="shared" ca="1" si="34"/>
        <v/>
      </c>
      <c r="E211" s="1740" t="str">
        <f t="shared" ca="1" si="31"/>
        <v/>
      </c>
      <c r="F211" s="1740" t="str">
        <f t="shared" ca="1" si="25"/>
        <v/>
      </c>
      <c r="G211" s="1740"/>
      <c r="H211" s="1734" t="str">
        <f t="shared" si="35"/>
        <v/>
      </c>
      <c r="I211" s="1735" t="str">
        <f t="shared" ca="1" si="26"/>
        <v/>
      </c>
      <c r="J211" s="1734" t="str">
        <f t="shared" ca="1" si="27"/>
        <v/>
      </c>
      <c r="K211" s="1732" t="str">
        <f t="shared" ca="1" si="28"/>
        <v/>
      </c>
      <c r="L211" s="1748" t="str">
        <f t="shared" ca="1" si="29"/>
        <v/>
      </c>
      <c r="M211" s="1740" t="str">
        <f t="shared" ca="1" si="36"/>
        <v/>
      </c>
      <c r="N211" s="1734" t="str">
        <f t="shared" ca="1" si="32"/>
        <v/>
      </c>
      <c r="O211" s="264"/>
      <c r="P211" s="264"/>
      <c r="Q211" s="1690">
        <f t="shared" ca="1" si="33"/>
        <v>0</v>
      </c>
      <c r="R211" s="264"/>
      <c r="S211" s="264"/>
      <c r="T211" s="264"/>
      <c r="U211" s="264"/>
      <c r="V211" s="264"/>
    </row>
    <row r="212" spans="1:22" x14ac:dyDescent="0.2">
      <c r="A212" s="264"/>
      <c r="B212" s="1738">
        <v>92</v>
      </c>
      <c r="C212" s="1739" t="str">
        <f t="shared" ca="1" si="30"/>
        <v/>
      </c>
      <c r="D212" s="1732" t="str">
        <f t="shared" ca="1" si="34"/>
        <v/>
      </c>
      <c r="E212" s="1740" t="str">
        <f t="shared" ca="1" si="31"/>
        <v/>
      </c>
      <c r="F212" s="1740" t="str">
        <f t="shared" ca="1" si="25"/>
        <v/>
      </c>
      <c r="G212" s="1740"/>
      <c r="H212" s="1734" t="str">
        <f>IF(OR(H211=0,H211=""),
        "",
        H211-F212-G212)</f>
        <v/>
      </c>
      <c r="I212" s="1735" t="str">
        <f t="shared" ca="1" si="26"/>
        <v/>
      </c>
      <c r="J212" s="1734" t="str">
        <f t="shared" ca="1" si="27"/>
        <v/>
      </c>
      <c r="K212" s="1732" t="str">
        <f t="shared" ca="1" si="28"/>
        <v/>
      </c>
      <c r="L212" s="1748" t="str">
        <f t="shared" ca="1" si="29"/>
        <v/>
      </c>
      <c r="M212" s="1740" t="str">
        <f t="shared" ca="1" si="36"/>
        <v/>
      </c>
      <c r="N212" s="1734" t="str">
        <f t="shared" ca="1" si="32"/>
        <v/>
      </c>
      <c r="O212" s="264"/>
      <c r="P212" s="264"/>
      <c r="Q212" s="1690">
        <f t="shared" ca="1" si="33"/>
        <v>0</v>
      </c>
      <c r="R212" s="264"/>
      <c r="S212" s="264"/>
      <c r="T212" s="264"/>
      <c r="U212" s="264"/>
      <c r="V212" s="264"/>
    </row>
    <row r="213" spans="1:22" x14ac:dyDescent="0.2">
      <c r="A213" s="264"/>
      <c r="B213" s="1738">
        <v>93</v>
      </c>
      <c r="C213" s="1739" t="str">
        <f t="shared" ca="1" si="30"/>
        <v/>
      </c>
      <c r="D213" s="1732" t="str">
        <f t="shared" ca="1" si="34"/>
        <v/>
      </c>
      <c r="E213" s="1740" t="str">
        <f t="shared" ca="1" si="31"/>
        <v/>
      </c>
      <c r="F213" s="1740" t="str">
        <f t="shared" ca="1" si="25"/>
        <v/>
      </c>
      <c r="G213" s="1740"/>
      <c r="H213" s="1734" t="str">
        <f t="shared" si="35"/>
        <v/>
      </c>
      <c r="I213" s="1735" t="str">
        <f t="shared" ca="1" si="26"/>
        <v/>
      </c>
      <c r="J213" s="1734" t="str">
        <f t="shared" ca="1" si="27"/>
        <v/>
      </c>
      <c r="K213" s="1732" t="str">
        <f t="shared" ca="1" si="28"/>
        <v/>
      </c>
      <c r="L213" s="1748" t="str">
        <f t="shared" ca="1" si="29"/>
        <v/>
      </c>
      <c r="M213" s="1740" t="str">
        <f t="shared" ca="1" si="36"/>
        <v/>
      </c>
      <c r="N213" s="1734" t="str">
        <f t="shared" ca="1" si="32"/>
        <v/>
      </c>
      <c r="O213" s="264"/>
      <c r="P213" s="264"/>
      <c r="Q213" s="1690">
        <f t="shared" ca="1" si="33"/>
        <v>0</v>
      </c>
      <c r="R213" s="264"/>
      <c r="S213" s="264"/>
      <c r="T213" s="264"/>
      <c r="U213" s="264"/>
      <c r="V213" s="264"/>
    </row>
    <row r="214" spans="1:22" x14ac:dyDescent="0.2">
      <c r="A214" s="264"/>
      <c r="B214" s="1738">
        <v>94</v>
      </c>
      <c r="C214" s="1739" t="str">
        <f t="shared" ca="1" si="30"/>
        <v/>
      </c>
      <c r="D214" s="1732" t="str">
        <f t="shared" ca="1" si="34"/>
        <v/>
      </c>
      <c r="E214" s="1740" t="str">
        <f t="shared" ca="1" si="31"/>
        <v/>
      </c>
      <c r="F214" s="1740" t="str">
        <f t="shared" ca="1" si="25"/>
        <v/>
      </c>
      <c r="G214" s="1740"/>
      <c r="H214" s="1734" t="str">
        <f t="shared" si="35"/>
        <v/>
      </c>
      <c r="I214" s="1735" t="str">
        <f t="shared" ca="1" si="26"/>
        <v/>
      </c>
      <c r="J214" s="1734" t="str">
        <f t="shared" ca="1" si="27"/>
        <v/>
      </c>
      <c r="K214" s="1732" t="str">
        <f t="shared" ca="1" si="28"/>
        <v/>
      </c>
      <c r="L214" s="1748" t="str">
        <f t="shared" ca="1" si="29"/>
        <v/>
      </c>
      <c r="M214" s="1740" t="str">
        <f t="shared" ca="1" si="36"/>
        <v/>
      </c>
      <c r="N214" s="1734" t="str">
        <f t="shared" ca="1" si="32"/>
        <v/>
      </c>
      <c r="O214" s="264"/>
      <c r="P214" s="264"/>
      <c r="Q214" s="1690">
        <f t="shared" ca="1" si="33"/>
        <v>0</v>
      </c>
      <c r="R214" s="264"/>
      <c r="S214" s="264"/>
      <c r="T214" s="264"/>
      <c r="U214" s="264"/>
      <c r="V214" s="264"/>
    </row>
    <row r="215" spans="1:22" x14ac:dyDescent="0.2">
      <c r="A215" s="264"/>
      <c r="B215" s="1738">
        <v>95</v>
      </c>
      <c r="C215" s="1739" t="str">
        <f t="shared" ca="1" si="30"/>
        <v/>
      </c>
      <c r="D215" s="1732" t="str">
        <f t="shared" ca="1" si="34"/>
        <v/>
      </c>
      <c r="E215" s="1740" t="str">
        <f t="shared" ca="1" si="31"/>
        <v/>
      </c>
      <c r="F215" s="1740" t="str">
        <f t="shared" ca="1" si="25"/>
        <v/>
      </c>
      <c r="G215" s="1740"/>
      <c r="H215" s="1734" t="str">
        <f t="shared" si="35"/>
        <v/>
      </c>
      <c r="I215" s="1735" t="str">
        <f t="shared" ca="1" si="26"/>
        <v/>
      </c>
      <c r="J215" s="1734" t="str">
        <f t="shared" ca="1" si="27"/>
        <v/>
      </c>
      <c r="K215" s="1732" t="str">
        <f t="shared" ca="1" si="28"/>
        <v/>
      </c>
      <c r="L215" s="1748" t="str">
        <f t="shared" ca="1" si="29"/>
        <v/>
      </c>
      <c r="M215" s="1740" t="str">
        <f t="shared" ca="1" si="36"/>
        <v/>
      </c>
      <c r="N215" s="1734" t="str">
        <f t="shared" ca="1" si="32"/>
        <v/>
      </c>
      <c r="O215" s="264"/>
      <c r="P215" s="264"/>
      <c r="Q215" s="1690">
        <f t="shared" ca="1" si="33"/>
        <v>0</v>
      </c>
      <c r="R215" s="264"/>
      <c r="S215" s="264"/>
      <c r="T215" s="264"/>
      <c r="U215" s="264"/>
      <c r="V215" s="264"/>
    </row>
    <row r="216" spans="1:22" x14ac:dyDescent="0.2">
      <c r="A216" s="264"/>
      <c r="B216" s="1738">
        <v>96</v>
      </c>
      <c r="C216" s="1739" t="str">
        <f t="shared" ca="1" si="30"/>
        <v/>
      </c>
      <c r="D216" s="1732" t="str">
        <f t="shared" ca="1" si="34"/>
        <v/>
      </c>
      <c r="E216" s="1740" t="str">
        <f t="shared" ca="1" si="31"/>
        <v/>
      </c>
      <c r="F216" s="1740" t="str">
        <f t="shared" ca="1" si="25"/>
        <v/>
      </c>
      <c r="G216" s="1740"/>
      <c r="H216" s="1734" t="str">
        <f t="shared" si="35"/>
        <v/>
      </c>
      <c r="I216" s="1735" t="str">
        <f t="shared" ca="1" si="26"/>
        <v/>
      </c>
      <c r="J216" s="1734" t="str">
        <f t="shared" ca="1" si="27"/>
        <v/>
      </c>
      <c r="K216" s="1732" t="str">
        <f t="shared" ca="1" si="28"/>
        <v/>
      </c>
      <c r="L216" s="1748" t="str">
        <f t="shared" ca="1" si="29"/>
        <v/>
      </c>
      <c r="M216" s="1740" t="str">
        <f t="shared" ca="1" si="36"/>
        <v/>
      </c>
      <c r="N216" s="1734" t="str">
        <f t="shared" ca="1" si="32"/>
        <v/>
      </c>
      <c r="O216" s="264"/>
      <c r="P216" s="264"/>
      <c r="Q216" s="1690">
        <f t="shared" ca="1" si="33"/>
        <v>0</v>
      </c>
      <c r="R216" s="264"/>
      <c r="S216" s="264"/>
      <c r="T216" s="264"/>
      <c r="U216" s="264"/>
      <c r="V216" s="264"/>
    </row>
    <row r="217" spans="1:22" x14ac:dyDescent="0.2">
      <c r="A217" s="264"/>
      <c r="B217" s="1738">
        <v>97</v>
      </c>
      <c r="C217" s="1739" t="str">
        <f t="shared" ca="1" si="30"/>
        <v/>
      </c>
      <c r="D217" s="1732" t="str">
        <f t="shared" ca="1" si="34"/>
        <v/>
      </c>
      <c r="E217" s="1740" t="str">
        <f t="shared" ca="1" si="31"/>
        <v/>
      </c>
      <c r="F217" s="1740" t="str">
        <f t="shared" ca="1" si="25"/>
        <v/>
      </c>
      <c r="G217" s="1740"/>
      <c r="H217" s="1734" t="str">
        <f t="shared" si="35"/>
        <v/>
      </c>
      <c r="I217" s="1735" t="str">
        <f t="shared" ref="I217:I220" ca="1" si="37">IFERROR(
        IF(C217="",
                "",
                IF(C217&gt;INDEX(C$121:C$220,60),
                        0,
                        ROUND(E217*MIN(1,H$90/H$89),2))),
        "")</f>
        <v/>
      </c>
      <c r="J217" s="1734" t="str">
        <f t="shared" ca="1" si="27"/>
        <v/>
      </c>
      <c r="K217" s="1732" t="str">
        <f t="shared" ca="1" si="28"/>
        <v/>
      </c>
      <c r="L217" s="1748" t="str">
        <f t="shared" ref="L217:L220" ca="1" si="38">IFERROR(
        MAX(0,ROUNDUP((D217-IF(B217=1,
                        0,
                        IFERROR(INDEX(I$121:I$220,(B217-H$95)^2/(B217-H$95)),0)))/
                       (H$5*H$97*H$98),
                2)),
        K217)</f>
        <v/>
      </c>
      <c r="M217" s="1740" t="str">
        <f t="shared" ca="1" si="36"/>
        <v/>
      </c>
      <c r="N217" s="1734" t="str">
        <f t="shared" ca="1" si="32"/>
        <v/>
      </c>
      <c r="O217" s="264"/>
      <c r="P217" s="264"/>
      <c r="Q217" s="1690">
        <f t="shared" ca="1" si="33"/>
        <v>0</v>
      </c>
      <c r="R217" s="264"/>
      <c r="S217" s="264"/>
      <c r="T217" s="264"/>
      <c r="U217" s="264"/>
      <c r="V217" s="264"/>
    </row>
    <row r="218" spans="1:22" x14ac:dyDescent="0.2">
      <c r="A218" s="264"/>
      <c r="B218" s="1738">
        <v>98</v>
      </c>
      <c r="C218" s="1739" t="str">
        <f t="shared" ca="1" si="30"/>
        <v/>
      </c>
      <c r="D218" s="1732" t="str">
        <f t="shared" ca="1" si="34"/>
        <v/>
      </c>
      <c r="E218" s="1740" t="str">
        <f t="shared" ca="1" si="31"/>
        <v/>
      </c>
      <c r="F218" s="1740" t="str">
        <f t="shared" ca="1" si="25"/>
        <v/>
      </c>
      <c r="G218" s="1740"/>
      <c r="H218" s="1734" t="str">
        <f t="shared" si="35"/>
        <v/>
      </c>
      <c r="I218" s="1735" t="str">
        <f t="shared" ca="1" si="37"/>
        <v/>
      </c>
      <c r="J218" s="1734" t="str">
        <f t="shared" ca="1" si="27"/>
        <v/>
      </c>
      <c r="K218" s="1732" t="str">
        <f t="shared" ca="1" si="28"/>
        <v/>
      </c>
      <c r="L218" s="1748" t="str">
        <f t="shared" ca="1" si="38"/>
        <v/>
      </c>
      <c r="M218" s="1740" t="str">
        <f t="shared" ca="1" si="36"/>
        <v/>
      </c>
      <c r="N218" s="1734" t="str">
        <f t="shared" ref="N218:N220" ca="1" si="39">IFERROR(ROUND(M218*H$5*H$97*H$98-D218+IFERROR(INDEX(I$121:I$220,(B218-H$95)^2/(B218-H$95)),0)+N217,2),"")</f>
        <v/>
      </c>
      <c r="O218" s="264"/>
      <c r="P218" s="264"/>
      <c r="Q218" s="1690">
        <f t="shared" ca="1" si="33"/>
        <v>0</v>
      </c>
      <c r="R218" s="264"/>
      <c r="S218" s="264"/>
      <c r="T218" s="264"/>
      <c r="U218" s="264"/>
      <c r="V218" s="264"/>
    </row>
    <row r="219" spans="1:22" x14ac:dyDescent="0.2">
      <c r="A219" s="264"/>
      <c r="B219" s="1738">
        <v>99</v>
      </c>
      <c r="C219" s="1739" t="str">
        <f t="shared" ca="1" si="30"/>
        <v/>
      </c>
      <c r="D219" s="1732" t="str">
        <f t="shared" ca="1" si="34"/>
        <v/>
      </c>
      <c r="E219" s="1740" t="str">
        <f t="shared" ca="1" si="31"/>
        <v/>
      </c>
      <c r="F219" s="1740" t="str">
        <f t="shared" ca="1" si="25"/>
        <v/>
      </c>
      <c r="G219" s="1740"/>
      <c r="H219" s="1734" t="str">
        <f t="shared" si="35"/>
        <v/>
      </c>
      <c r="I219" s="1735" t="str">
        <f t="shared" ca="1" si="37"/>
        <v/>
      </c>
      <c r="J219" s="1734" t="str">
        <f t="shared" ca="1" si="27"/>
        <v/>
      </c>
      <c r="K219" s="1732" t="str">
        <f t="shared" ca="1" si="28"/>
        <v/>
      </c>
      <c r="L219" s="1748" t="str">
        <f t="shared" ca="1" si="38"/>
        <v/>
      </c>
      <c r="M219" s="1740"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ca="1" si="39"/>
        <v/>
      </c>
      <c r="O219" s="264"/>
      <c r="P219" s="264"/>
      <c r="Q219" s="1690">
        <f t="shared" ca="1" si="33"/>
        <v>0</v>
      </c>
      <c r="R219" s="264"/>
      <c r="S219" s="264"/>
      <c r="T219" s="264"/>
      <c r="U219" s="264"/>
      <c r="V219" s="264"/>
    </row>
    <row r="220" spans="1:22" x14ac:dyDescent="0.2">
      <c r="A220" s="264"/>
      <c r="B220" s="1741">
        <v>100</v>
      </c>
      <c r="C220" s="1742" t="str">
        <f t="shared" ca="1" si="30"/>
        <v/>
      </c>
      <c r="D220" s="1743" t="str">
        <f t="shared" ca="1" si="34"/>
        <v/>
      </c>
      <c r="E220" s="1744" t="str">
        <f t="shared" ca="1" si="31"/>
        <v/>
      </c>
      <c r="F220" s="1744" t="str">
        <f t="shared" ca="1" si="25"/>
        <v/>
      </c>
      <c r="G220" s="1744"/>
      <c r="H220" s="1745" t="str">
        <f t="shared" si="35"/>
        <v/>
      </c>
      <c r="I220" s="1743" t="str">
        <f t="shared" ca="1" si="37"/>
        <v/>
      </c>
      <c r="J220" s="1745" t="str">
        <f t="shared" ca="1" si="27"/>
        <v/>
      </c>
      <c r="K220" s="1743" t="str">
        <f t="shared" ca="1" si="28"/>
        <v/>
      </c>
      <c r="L220" s="1744" t="str">
        <f t="shared" ca="1" si="38"/>
        <v/>
      </c>
      <c r="M220" s="1744" t="str">
        <f t="shared" ca="1" si="40"/>
        <v/>
      </c>
      <c r="N220" s="1745" t="str">
        <f t="shared" ca="1" si="39"/>
        <v/>
      </c>
      <c r="O220" s="264"/>
      <c r="P220" s="264"/>
      <c r="Q220" s="1690">
        <f t="shared" ca="1" si="33"/>
        <v>0</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 ref="B95:G95"/>
    <mergeCell ref="B96:G96"/>
    <mergeCell ref="B97:G97"/>
    <mergeCell ref="B90:G90"/>
    <mergeCell ref="B91:G91"/>
    <mergeCell ref="B92:G92"/>
    <mergeCell ref="B93:G93"/>
    <mergeCell ref="B94:G94"/>
    <mergeCell ref="B88:G88"/>
    <mergeCell ref="B89:G89"/>
    <mergeCell ref="I90:K91"/>
    <mergeCell ref="B39:E39"/>
    <mergeCell ref="B40:E40"/>
    <mergeCell ref="B41:E41"/>
    <mergeCell ref="B42:E42"/>
    <mergeCell ref="B43:E43"/>
    <mergeCell ref="B44:E44"/>
    <mergeCell ref="B45:E45"/>
    <mergeCell ref="B46:E46"/>
    <mergeCell ref="B47:E47"/>
    <mergeCell ref="B48:E48"/>
    <mergeCell ref="N119:N120"/>
    <mergeCell ref="B118:C118"/>
    <mergeCell ref="D118:H118"/>
    <mergeCell ref="I118:I119"/>
    <mergeCell ref="J118:J119"/>
    <mergeCell ref="K118:N118"/>
    <mergeCell ref="B119:B120"/>
    <mergeCell ref="C119:C120"/>
    <mergeCell ref="H119:H120"/>
    <mergeCell ref="K119:K120"/>
    <mergeCell ref="L119:M119"/>
    <mergeCell ref="D119:D120"/>
    <mergeCell ref="E24:G24"/>
    <mergeCell ref="E25:G25"/>
    <mergeCell ref="B80:G80"/>
    <mergeCell ref="B81:G81"/>
    <mergeCell ref="B82:G82"/>
    <mergeCell ref="B86:G86"/>
    <mergeCell ref="B87:G87"/>
    <mergeCell ref="B16:G16"/>
    <mergeCell ref="B17:G17"/>
    <mergeCell ref="B30:G30"/>
    <mergeCell ref="B83:G83"/>
    <mergeCell ref="E22:G22"/>
    <mergeCell ref="J17:K17"/>
    <mergeCell ref="J18:K18"/>
    <mergeCell ref="J19:K19"/>
    <mergeCell ref="B21:G21"/>
    <mergeCell ref="H22:I22"/>
    <mergeCell ref="J22:K22"/>
    <mergeCell ref="H23:I23"/>
    <mergeCell ref="J23:K23"/>
    <mergeCell ref="E23:G23"/>
    <mergeCell ref="H26:I26"/>
    <mergeCell ref="J26:K26"/>
    <mergeCell ref="B32:G32"/>
    <mergeCell ref="B33:G33"/>
    <mergeCell ref="B34:G34"/>
    <mergeCell ref="E26:G26"/>
    <mergeCell ref="B79:H79"/>
    <mergeCell ref="B28:G28"/>
    <mergeCell ref="B29:G29"/>
    <mergeCell ref="I33:O33"/>
    <mergeCell ref="I30:K30"/>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s>
  <conditionalFormatting sqref="N121:N220">
    <cfRule type="cellIs" dxfId="71" priority="25" operator="lessThan">
      <formula>0</formula>
    </cfRule>
  </conditionalFormatting>
  <conditionalFormatting sqref="I82:L85">
    <cfRule type="expression" dxfId="70" priority="21">
      <formula>OR($H$82=0,$H$82="")</formula>
    </cfRule>
  </conditionalFormatting>
  <conditionalFormatting sqref="M82:R82">
    <cfRule type="expression" dxfId="69" priority="2">
      <formula>$H$32=0</formula>
    </cfRule>
  </conditionalFormatting>
  <conditionalFormatting sqref="I34">
    <cfRule type="expression" dxfId="68" priority="1">
      <formula>H16=0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3"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2"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3" id="{05201C23-D228-4FF4-9AE6-CEDA5A1A1E36}">
            <xm:f>'классы ЭЭ и выбросы ПГ'!$D$34=1</xm:f>
            <x14:dxf>
              <fill>
                <patternFill>
                  <bgColor theme="0" tint="-0.14996795556505021"/>
                </patternFill>
              </fill>
            </x14:dxf>
          </x14:cfRule>
          <x14:cfRule type="expression" priority="12"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10" id="{893CEA03-62A7-4AF5-8A47-920EA864517D}">
            <xm:f>'классы ЭЭ и выбросы ПГ'!$D$27=1</xm:f>
            <x14:dxf>
              <fill>
                <patternFill>
                  <bgColor theme="0" tint="-0.14996795556505021"/>
                </patternFill>
              </fill>
            </x14:dxf>
          </x14:cfRule>
          <x14:cfRule type="expression" priority="19"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9" id="{8EE16D87-B81F-4A4A-868E-FEF89D89D019}">
            <xm:f>'классы ЭЭ и выбросы ПГ'!$D$28=1</xm:f>
            <x14:dxf>
              <fill>
                <patternFill>
                  <bgColor theme="0" tint="-0.14996795556505021"/>
                </patternFill>
              </fill>
            </x14:dxf>
          </x14:cfRule>
          <x14:cfRule type="expression" priority="18"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8" id="{7A888172-8B9F-467F-BBB3-E16156B60633}">
            <xm:f>'классы ЭЭ и выбросы ПГ'!$D$29=1</xm:f>
            <x14:dxf>
              <fill>
                <patternFill>
                  <bgColor theme="0" tint="-0.14996795556505021"/>
                </patternFill>
              </fill>
            </x14:dxf>
          </x14:cfRule>
          <x14:cfRule type="expression" priority="17"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7" id="{0A68A5C3-F4F4-44AE-A5F7-81430D8B56D8}">
            <xm:f>'классы ЭЭ и выбросы ПГ'!$D$30=1</xm:f>
            <x14:dxf>
              <fill>
                <patternFill>
                  <bgColor theme="0" tint="-0.14996795556505021"/>
                </patternFill>
              </fill>
            </x14:dxf>
          </x14:cfRule>
          <x14:cfRule type="expression" priority="16"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6" id="{E972C057-37B3-4411-96A5-A1DC3D8E767D}">
            <xm:f>'классы ЭЭ и выбросы ПГ'!$D$31=1</xm:f>
            <x14:dxf>
              <fill>
                <patternFill>
                  <bgColor theme="0" tint="-0.14996795556505021"/>
                </patternFill>
              </fill>
            </x14:dxf>
          </x14:cfRule>
          <x14:cfRule type="expression" priority="15"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5" id="{7CDA8D81-7D6E-418C-8A96-996DE2A88750}">
            <xm:f>'классы ЭЭ и выбросы ПГ'!$D$32=1</xm:f>
            <x14:dxf>
              <fill>
                <patternFill>
                  <bgColor theme="0" tint="-0.14996795556505021"/>
                </patternFill>
              </fill>
            </x14:dxf>
          </x14:cfRule>
          <x14:cfRule type="expression" priority="14"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4" id="{208DC700-3EB1-4E55-BEA6-4D85CC432D78}">
            <xm:f>'классы ЭЭ и выбросы ПГ'!$D$33=1</xm:f>
            <x14:dxf>
              <fill>
                <patternFill>
                  <bgColor theme="0" tint="-0.14996795556505021"/>
                </patternFill>
              </fill>
            </x14:dxf>
          </x14:cfRule>
          <x14:cfRule type="expression" priority="13"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1" id="{05201C23-D228-4FF4-9AE6-CEDA5A1A1E36}">
            <xm:f>'классы ЭЭ и выбросы ПГ'!$D$35=1</xm:f>
            <x14:dxf>
              <fill>
                <patternFill>
                  <bgColor theme="0" tint="-0.14996795556505021"/>
                </patternFill>
              </fill>
            </x14:dxf>
          </x14:cfRule>
          <x14:cfRule type="expression" priority="322"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tabSelected="1" zoomScale="90" zoomScaleNormal="90" zoomScaleSheetLayoutView="85" workbookViewId="0">
      <pane ySplit="1" topLeftCell="A2" activePane="bottomLeft" state="frozen"/>
      <selection pane="bottomLeft" activeCell="L200" sqref="L200"/>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72" t="s">
        <v>2500</v>
      </c>
      <c r="C1" s="2172"/>
      <c r="D1" s="2172"/>
      <c r="E1" s="2172"/>
      <c r="F1" s="2392"/>
      <c r="G1" s="2392"/>
      <c r="H1" s="2392"/>
      <c r="I1" s="2392"/>
      <c r="J1" s="2392"/>
      <c r="K1" s="2172" t="s">
        <v>1570</v>
      </c>
      <c r="L1" s="2172"/>
      <c r="M1" s="2172"/>
      <c r="N1" s="2172"/>
      <c r="O1" s="2172"/>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01"/>
      <c r="D3" s="2301"/>
      <c r="E3" s="2301"/>
      <c r="F3" s="2301"/>
      <c r="G3" s="2301"/>
      <c r="H3" s="2301"/>
      <c r="I3" s="2301"/>
      <c r="J3" s="2301"/>
      <c r="K3" s="2301"/>
      <c r="L3" s="2302" t="s">
        <v>2345</v>
      </c>
      <c r="M3" s="2302"/>
      <c r="N3" s="2302"/>
      <c r="O3" s="2302"/>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03" t="s">
        <v>2163</v>
      </c>
      <c r="D4" s="2303"/>
      <c r="E4" s="2303"/>
      <c r="F4" s="2303"/>
      <c r="G4" s="2303"/>
      <c r="H4" s="2303"/>
      <c r="I4" s="2303"/>
      <c r="J4" s="2303"/>
      <c r="K4" s="2303"/>
      <c r="L4" s="2304"/>
      <c r="M4" s="2304"/>
      <c r="N4" s="2304"/>
      <c r="O4" s="2304"/>
      <c r="P4" s="1646"/>
      <c r="Q4" s="1646"/>
      <c r="R4" s="1646"/>
      <c r="S4" s="1646"/>
      <c r="T4" s="1646"/>
      <c r="U4" s="1646"/>
      <c r="V4" s="1646"/>
      <c r="W4" s="1646"/>
      <c r="X4" s="1646"/>
      <c r="Y4" s="1646"/>
      <c r="Z4" s="1646"/>
      <c r="AA4" s="1646"/>
      <c r="AB4" s="1646"/>
      <c r="AC4" s="1646"/>
    </row>
    <row r="5" spans="1:29" s="1681" customFormat="1" ht="31.5" customHeight="1" x14ac:dyDescent="0.25">
      <c r="A5" s="1646"/>
      <c r="B5" s="2309" t="s">
        <v>2164</v>
      </c>
      <c r="C5" s="2310"/>
      <c r="D5" s="2310"/>
      <c r="E5" s="2310"/>
      <c r="F5" s="2310"/>
      <c r="G5" s="2310"/>
      <c r="H5" s="2310"/>
      <c r="I5" s="2310"/>
      <c r="J5" s="2310"/>
      <c r="K5" s="2310"/>
      <c r="L5" s="2310"/>
      <c r="M5" s="2310"/>
      <c r="N5" s="2310"/>
      <c r="O5" s="2311"/>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05" t="s">
        <v>829</v>
      </c>
      <c r="D6" s="2305"/>
      <c r="E6" s="2305"/>
      <c r="F6" s="2305"/>
      <c r="G6" s="2305"/>
      <c r="H6" s="2305"/>
      <c r="I6" s="2305"/>
      <c r="J6" s="2305"/>
      <c r="K6" s="2305"/>
      <c r="L6" s="1667" t="s">
        <v>2165</v>
      </c>
      <c r="M6" s="2306" t="s">
        <v>862</v>
      </c>
      <c r="N6" s="2307"/>
      <c r="O6" s="2308"/>
      <c r="P6" s="1646"/>
      <c r="Q6" s="1646"/>
      <c r="R6" s="1646"/>
      <c r="S6" s="1646"/>
      <c r="T6" s="1646"/>
      <c r="U6" s="1646"/>
      <c r="V6" s="1646"/>
      <c r="W6" s="1646"/>
      <c r="X6" s="1646"/>
      <c r="Y6" s="1646"/>
      <c r="Z6" s="1646"/>
      <c r="AA6" s="1646"/>
      <c r="AB6" s="1646"/>
      <c r="AC6" s="1646"/>
    </row>
    <row r="7" spans="1:29" x14ac:dyDescent="0.25">
      <c r="A7" s="264"/>
      <c r="B7" s="1663">
        <v>1</v>
      </c>
      <c r="C7" s="2312" t="s">
        <v>1708</v>
      </c>
      <c r="D7" s="2312"/>
      <c r="E7" s="2312"/>
      <c r="F7" s="2312"/>
      <c r="G7" s="2312"/>
      <c r="H7" s="2312"/>
      <c r="I7" s="2312"/>
      <c r="J7" s="2312"/>
      <c r="K7" s="2312"/>
      <c r="L7" s="1663" t="s">
        <v>746</v>
      </c>
      <c r="M7" s="2313" t="str">
        <f>IF(OR(ISBLANK('Ввод исходных данных'!$D$9),ISBLANK('Ввод исходных данных'!$D$11)),"-",'Ввод исходных данных'!$D$11&amp;", "&amp;'Ввод исходных данных'!$D$9)</f>
        <v>Пермь, г. Пермь, ул. Академика Королева, д. 6</v>
      </c>
      <c r="N7" s="2314"/>
      <c r="O7" s="2315"/>
      <c r="P7" s="264"/>
      <c r="Q7" s="264"/>
      <c r="R7" s="264"/>
      <c r="S7" s="264"/>
      <c r="T7" s="264"/>
      <c r="U7" s="264"/>
      <c r="V7" s="264"/>
      <c r="W7" s="264"/>
      <c r="X7" s="264"/>
      <c r="Y7" s="264"/>
      <c r="Z7" s="264"/>
      <c r="AA7" s="264"/>
      <c r="AB7" s="264"/>
      <c r="AC7" s="264"/>
    </row>
    <row r="8" spans="1:29" x14ac:dyDescent="0.25">
      <c r="A8" s="264"/>
      <c r="B8" s="1666">
        <v>2</v>
      </c>
      <c r="C8" s="2312" t="s">
        <v>805</v>
      </c>
      <c r="D8" s="2312"/>
      <c r="E8" s="2312"/>
      <c r="F8" s="2312"/>
      <c r="G8" s="2312"/>
      <c r="H8" s="2312"/>
      <c r="I8" s="2312"/>
      <c r="J8" s="2312"/>
      <c r="K8" s="2312"/>
      <c r="L8" s="1666" t="s">
        <v>746</v>
      </c>
      <c r="M8" s="2313">
        <f>IF(ISBLANK('Ввод исходных данных'!$D$12),"-",'Ввод исходных данных'!$D$12)</f>
        <v>1986</v>
      </c>
      <c r="N8" s="2314"/>
      <c r="O8" s="2315"/>
      <c r="P8" s="264"/>
      <c r="Q8" s="264"/>
      <c r="R8" s="264"/>
      <c r="S8" s="264"/>
      <c r="T8" s="264"/>
      <c r="U8" s="264"/>
      <c r="V8" s="264"/>
      <c r="W8" s="264"/>
      <c r="X8" s="264"/>
      <c r="Y8" s="264"/>
      <c r="Z8" s="264"/>
      <c r="AA8" s="264"/>
      <c r="AB8" s="264"/>
      <c r="AC8" s="264"/>
    </row>
    <row r="9" spans="1:29" ht="14.25" customHeight="1" x14ac:dyDescent="0.25">
      <c r="A9" s="264"/>
      <c r="B9" s="1666">
        <v>3</v>
      </c>
      <c r="C9" s="2312" t="s">
        <v>2166</v>
      </c>
      <c r="D9" s="2312"/>
      <c r="E9" s="2312"/>
      <c r="F9" s="2312"/>
      <c r="G9" s="2312"/>
      <c r="H9" s="2312"/>
      <c r="I9" s="2312"/>
      <c r="J9" s="2312"/>
      <c r="K9" s="2312"/>
      <c r="L9" s="1666" t="s">
        <v>746</v>
      </c>
      <c r="M9" s="2313" t="str">
        <f>IF(ISBLANK('Ввод исходных данных'!$D$13),"-",'Ввод исходных данных'!$D$13)</f>
        <v>до 1995 г.</v>
      </c>
      <c r="N9" s="2314"/>
      <c r="O9" s="2315"/>
      <c r="P9" s="264"/>
      <c r="Q9" s="264"/>
      <c r="R9" s="264"/>
      <c r="S9" s="264"/>
      <c r="T9" s="264"/>
      <c r="U9" s="264"/>
      <c r="V9" s="264"/>
      <c r="W9" s="264"/>
      <c r="X9" s="264"/>
      <c r="Y9" s="264"/>
      <c r="Z9" s="264"/>
      <c r="AA9" s="264"/>
      <c r="AB9" s="264"/>
      <c r="AC9" s="264"/>
    </row>
    <row r="10" spans="1:29" x14ac:dyDescent="0.25">
      <c r="A10" s="264"/>
      <c r="B10" s="1666">
        <v>4</v>
      </c>
      <c r="C10" s="2312" t="s">
        <v>756</v>
      </c>
      <c r="D10" s="2312"/>
      <c r="E10" s="2312"/>
      <c r="F10" s="2312"/>
      <c r="G10" s="2312"/>
      <c r="H10" s="2312"/>
      <c r="I10" s="2312"/>
      <c r="J10" s="2312"/>
      <c r="K10" s="2312"/>
      <c r="L10" s="1666" t="s">
        <v>746</v>
      </c>
      <c r="M10" s="2313" t="str">
        <f>IF(ISBLANK('Ввод исходных данных'!$D$14),"-",'Ввод исходных данных'!$D$14)</f>
        <v>Нет в списке</v>
      </c>
      <c r="N10" s="2314"/>
      <c r="O10" s="2315"/>
      <c r="P10" s="264"/>
      <c r="Q10" s="264"/>
      <c r="R10" s="264"/>
      <c r="S10" s="264"/>
      <c r="T10" s="264"/>
      <c r="U10" s="264"/>
      <c r="V10" s="264"/>
      <c r="W10" s="264"/>
      <c r="X10" s="264"/>
      <c r="Y10" s="264"/>
      <c r="Z10" s="264"/>
      <c r="AA10" s="264"/>
      <c r="AB10" s="264"/>
      <c r="AC10" s="264"/>
    </row>
    <row r="11" spans="1:29" ht="15" customHeight="1" x14ac:dyDescent="0.25">
      <c r="A11" s="264"/>
      <c r="B11" s="1666">
        <v>5</v>
      </c>
      <c r="C11" s="2312" t="s">
        <v>1150</v>
      </c>
      <c r="D11" s="2312"/>
      <c r="E11" s="2312"/>
      <c r="F11" s="2312"/>
      <c r="G11" s="2312"/>
      <c r="H11" s="2312"/>
      <c r="I11" s="2312"/>
      <c r="J11" s="2312"/>
      <c r="K11" s="2312"/>
      <c r="L11" s="1666" t="s">
        <v>746</v>
      </c>
      <c r="M11" s="2313" t="str">
        <f>IF(ISBLANK('Ввод исходных данных'!$D$16),"-",'Ввод исходных данных'!$D$16)</f>
        <v>кирпич</v>
      </c>
      <c r="N11" s="2314"/>
      <c r="O11" s="2315"/>
      <c r="P11" s="264"/>
      <c r="Q11" s="264"/>
      <c r="R11" s="264"/>
      <c r="S11" s="264"/>
      <c r="T11" s="264"/>
      <c r="U11" s="264"/>
      <c r="V11" s="264"/>
      <c r="W11" s="264"/>
      <c r="X11" s="264"/>
      <c r="Y11" s="264"/>
      <c r="Z11" s="264"/>
      <c r="AA11" s="264"/>
      <c r="AB11" s="264"/>
      <c r="AC11" s="264"/>
    </row>
    <row r="12" spans="1:29" ht="15" customHeight="1" x14ac:dyDescent="0.25">
      <c r="A12" s="264"/>
      <c r="B12" s="1666">
        <v>6</v>
      </c>
      <c r="C12" s="2316" t="s">
        <v>2167</v>
      </c>
      <c r="D12" s="2316"/>
      <c r="E12" s="2316"/>
      <c r="F12" s="2316"/>
      <c r="G12" s="2316"/>
      <c r="H12" s="2316"/>
      <c r="I12" s="2316"/>
      <c r="J12" s="2316"/>
      <c r="K12" s="2316"/>
      <c r="L12" s="1682" t="s">
        <v>1768</v>
      </c>
      <c r="M12" s="2313">
        <f>IF(ISBLANK('Ввод исходных данных'!$D$17),"-",'Ввод исходных данных'!$D$17)</f>
        <v>4</v>
      </c>
      <c r="N12" s="2314"/>
      <c r="O12" s="2315"/>
      <c r="P12" s="264"/>
      <c r="Q12" s="264"/>
      <c r="R12" s="264"/>
      <c r="S12" s="264"/>
      <c r="T12" s="264"/>
      <c r="U12" s="264"/>
      <c r="V12" s="264"/>
      <c r="W12" s="264"/>
      <c r="X12" s="264"/>
      <c r="Y12" s="264"/>
      <c r="Z12" s="264"/>
      <c r="AA12" s="264"/>
      <c r="AB12" s="264"/>
      <c r="AC12" s="264"/>
    </row>
    <row r="13" spans="1:29" ht="15" customHeight="1" x14ac:dyDescent="0.25">
      <c r="A13" s="264"/>
      <c r="B13" s="1666">
        <v>7</v>
      </c>
      <c r="C13" s="2312" t="s">
        <v>2168</v>
      </c>
      <c r="D13" s="2312"/>
      <c r="E13" s="2316" t="s">
        <v>2169</v>
      </c>
      <c r="F13" s="2316"/>
      <c r="G13" s="2316"/>
      <c r="H13" s="2316"/>
      <c r="I13" s="2316"/>
      <c r="J13" s="2316"/>
      <c r="K13" s="2316"/>
      <c r="L13" s="1682" t="s">
        <v>1768</v>
      </c>
      <c r="M13" s="2313">
        <f>IF(ISBLANK('Ввод исходных данных'!$D$19),"-",'Ввод исходных данных'!$D$19)</f>
        <v>9</v>
      </c>
      <c r="N13" s="2314"/>
      <c r="O13" s="2315"/>
      <c r="P13" s="264"/>
      <c r="Q13" s="264"/>
      <c r="R13" s="264"/>
      <c r="S13" s="264"/>
      <c r="T13" s="264"/>
      <c r="U13" s="264"/>
      <c r="V13" s="264"/>
      <c r="W13" s="264"/>
      <c r="X13" s="264"/>
      <c r="Y13" s="264"/>
      <c r="Z13" s="264"/>
      <c r="AA13" s="264"/>
      <c r="AB13" s="264"/>
      <c r="AC13" s="264"/>
    </row>
    <row r="14" spans="1:29" ht="15" customHeight="1" x14ac:dyDescent="0.25">
      <c r="A14" s="264"/>
      <c r="B14" s="1666">
        <v>8</v>
      </c>
      <c r="C14" s="2312"/>
      <c r="D14" s="2312"/>
      <c r="E14" s="2312" t="s">
        <v>2170</v>
      </c>
      <c r="F14" s="2312"/>
      <c r="G14" s="2312"/>
      <c r="H14" s="2312"/>
      <c r="I14" s="2312"/>
      <c r="J14" s="2312"/>
      <c r="K14" s="2312"/>
      <c r="L14" s="1663" t="s">
        <v>2171</v>
      </c>
      <c r="M14" s="2313" t="str">
        <f>IF(списки!$C$40,"да","нет")</f>
        <v>нет</v>
      </c>
      <c r="N14" s="2314"/>
      <c r="O14" s="2315"/>
      <c r="P14" s="264"/>
      <c r="Q14" s="264"/>
      <c r="R14" s="264"/>
      <c r="S14" s="264"/>
      <c r="T14" s="264"/>
      <c r="U14" s="264"/>
      <c r="V14" s="264"/>
      <c r="W14" s="264"/>
      <c r="X14" s="264"/>
      <c r="Y14" s="264"/>
      <c r="Z14" s="264"/>
      <c r="AA14" s="264"/>
      <c r="AB14" s="264"/>
      <c r="AC14" s="264"/>
    </row>
    <row r="15" spans="1:29" x14ac:dyDescent="0.25">
      <c r="A15" s="264"/>
      <c r="B15" s="1666">
        <v>9</v>
      </c>
      <c r="C15" s="2312" t="s">
        <v>2172</v>
      </c>
      <c r="D15" s="2312"/>
      <c r="E15" s="2317" t="s">
        <v>1291</v>
      </c>
      <c r="F15" s="2317"/>
      <c r="G15" s="2317"/>
      <c r="H15" s="2317"/>
      <c r="I15" s="2317"/>
      <c r="J15" s="2317"/>
      <c r="K15" s="2317"/>
      <c r="L15" s="1682" t="s">
        <v>1768</v>
      </c>
      <c r="M15" s="2313">
        <f>IF(ISBLANK('Ввод исходных данных'!$D$20),"-",'Ввод исходных данных'!$D$20)</f>
        <v>126</v>
      </c>
      <c r="N15" s="2314"/>
      <c r="O15" s="2315"/>
      <c r="P15" s="264"/>
      <c r="Q15" s="264"/>
      <c r="R15" s="264"/>
      <c r="S15" s="264"/>
      <c r="T15" s="264"/>
      <c r="U15" s="264"/>
      <c r="V15" s="264"/>
      <c r="W15" s="264"/>
      <c r="X15" s="264"/>
      <c r="Y15" s="264"/>
      <c r="Z15" s="264"/>
      <c r="AA15" s="264"/>
      <c r="AB15" s="264"/>
      <c r="AC15" s="264"/>
    </row>
    <row r="16" spans="1:29" ht="15" customHeight="1" x14ac:dyDescent="0.25">
      <c r="A16" s="264"/>
      <c r="B16" s="1666">
        <v>10</v>
      </c>
      <c r="C16" s="2312"/>
      <c r="D16" s="2312"/>
      <c r="E16" s="2318" t="s">
        <v>2173</v>
      </c>
      <c r="F16" s="2318"/>
      <c r="G16" s="2318"/>
      <c r="H16" s="2318"/>
      <c r="I16" s="2318"/>
      <c r="J16" s="2318"/>
      <c r="K16" s="2318"/>
      <c r="L16" s="1682" t="s">
        <v>1768</v>
      </c>
      <c r="M16" s="2313">
        <f>IF(ISBLANK('Ввод исходных данных'!$D$21),"-",'Ввод исходных данных'!$D$21)</f>
        <v>106</v>
      </c>
      <c r="N16" s="2314"/>
      <c r="O16" s="2315"/>
      <c r="P16" s="264"/>
      <c r="Q16" s="264"/>
      <c r="R16" s="264"/>
      <c r="S16" s="264"/>
      <c r="T16" s="264"/>
      <c r="U16" s="264"/>
      <c r="V16" s="264"/>
      <c r="W16" s="264"/>
      <c r="X16" s="264"/>
      <c r="Y16" s="264"/>
      <c r="Z16" s="264"/>
      <c r="AA16" s="264"/>
      <c r="AB16" s="264"/>
      <c r="AC16" s="264"/>
    </row>
    <row r="17" spans="1:29" ht="15" customHeight="1" x14ac:dyDescent="0.25">
      <c r="A17" s="264"/>
      <c r="B17" s="1666">
        <v>11</v>
      </c>
      <c r="C17" s="2312" t="s">
        <v>2174</v>
      </c>
      <c r="D17" s="2312"/>
      <c r="E17" s="2312"/>
      <c r="F17" s="2312"/>
      <c r="G17" s="2312"/>
      <c r="H17" s="2312"/>
      <c r="I17" s="2312"/>
      <c r="J17" s="2312"/>
      <c r="K17" s="2312"/>
      <c r="L17" s="1666" t="s">
        <v>2175</v>
      </c>
      <c r="M17" s="2313">
        <f>IF(ISBLANK('Ввод исходных данных'!$D$22),"-",'Ввод исходных данных'!$D$22)</f>
        <v>258</v>
      </c>
      <c r="N17" s="2314"/>
      <c r="O17" s="2315"/>
      <c r="P17" s="264"/>
      <c r="Q17" s="264"/>
      <c r="R17" s="264"/>
      <c r="S17" s="264"/>
      <c r="T17" s="264"/>
      <c r="U17" s="264"/>
      <c r="V17" s="264"/>
      <c r="W17" s="264"/>
      <c r="X17" s="264"/>
      <c r="Y17" s="264"/>
      <c r="Z17" s="264"/>
      <c r="AA17" s="264"/>
      <c r="AB17" s="264"/>
      <c r="AC17" s="264"/>
    </row>
    <row r="18" spans="1:29" x14ac:dyDescent="0.25">
      <c r="A18" s="264"/>
      <c r="B18" s="1666">
        <v>12</v>
      </c>
      <c r="C18" s="2316" t="s">
        <v>2176</v>
      </c>
      <c r="D18" s="2316"/>
      <c r="E18" s="2316" t="s">
        <v>1291</v>
      </c>
      <c r="F18" s="2316"/>
      <c r="G18" s="2316"/>
      <c r="H18" s="2316"/>
      <c r="I18" s="2316"/>
      <c r="J18" s="2316"/>
      <c r="K18" s="2316"/>
      <c r="L18" s="1682" t="s">
        <v>2177</v>
      </c>
      <c r="M18" s="2313" t="str">
        <f>IF(ISBLANK('Ввод исходных данных'!$D$23),"-",'Ввод исходных данных'!$D$23)</f>
        <v>-</v>
      </c>
      <c r="N18" s="2314"/>
      <c r="O18" s="2315"/>
      <c r="P18" s="264"/>
      <c r="Q18" s="264"/>
      <c r="R18" s="264"/>
      <c r="S18" s="264"/>
      <c r="T18" s="264"/>
      <c r="U18" s="264"/>
      <c r="V18" s="264"/>
      <c r="W18" s="264"/>
      <c r="X18" s="264"/>
      <c r="Y18" s="264"/>
      <c r="Z18" s="264"/>
      <c r="AA18" s="264"/>
      <c r="AB18" s="264"/>
      <c r="AC18" s="264"/>
    </row>
    <row r="19" spans="1:29" ht="15" customHeight="1" x14ac:dyDescent="0.25">
      <c r="A19" s="264"/>
      <c r="B19" s="1666">
        <v>13</v>
      </c>
      <c r="C19" s="2316"/>
      <c r="D19" s="2316"/>
      <c r="E19" s="2322" t="s">
        <v>2178</v>
      </c>
      <c r="F19" s="2322"/>
      <c r="G19" s="2322"/>
      <c r="H19" s="2322"/>
      <c r="I19" s="2322"/>
      <c r="J19" s="2322"/>
      <c r="K19" s="2322"/>
      <c r="L19" s="1663" t="s">
        <v>2177</v>
      </c>
      <c r="M19" s="2313" t="str">
        <f>IF(ISBLANK('Ввод исходных данных'!$D$24),"-",'Ввод исходных данных'!$D$24)</f>
        <v>-</v>
      </c>
      <c r="N19" s="2314"/>
      <c r="O19" s="2315"/>
      <c r="P19" s="264"/>
      <c r="Q19" s="264"/>
      <c r="R19" s="264"/>
      <c r="S19" s="264"/>
      <c r="T19" s="264"/>
      <c r="U19" s="264"/>
      <c r="V19" s="264"/>
      <c r="W19" s="264"/>
      <c r="X19" s="264"/>
      <c r="Y19" s="264"/>
      <c r="Z19" s="264"/>
      <c r="AA19" s="264"/>
      <c r="AB19" s="264"/>
      <c r="AC19" s="264"/>
    </row>
    <row r="20" spans="1:29" ht="15" customHeight="1" x14ac:dyDescent="0.25">
      <c r="A20" s="264"/>
      <c r="B20" s="1666">
        <v>14</v>
      </c>
      <c r="C20" s="2316"/>
      <c r="D20" s="2316"/>
      <c r="E20" s="2322" t="s">
        <v>2179</v>
      </c>
      <c r="F20" s="2322"/>
      <c r="G20" s="2322"/>
      <c r="H20" s="2322"/>
      <c r="I20" s="2322"/>
      <c r="J20" s="2322"/>
      <c r="K20" s="2322"/>
      <c r="L20" s="1663" t="s">
        <v>2177</v>
      </c>
      <c r="M20" s="2313" t="str">
        <f>IF(ISBLANK('Ввод исходных данных'!$D$25),"-",'Ввод исходных данных'!$D$25)</f>
        <v>-</v>
      </c>
      <c r="N20" s="2314"/>
      <c r="O20" s="2315"/>
      <c r="P20" s="264"/>
      <c r="Q20" s="264"/>
      <c r="R20" s="264"/>
      <c r="S20" s="264"/>
      <c r="T20" s="264"/>
      <c r="U20" s="264"/>
      <c r="V20" s="264"/>
      <c r="W20" s="264"/>
      <c r="X20" s="264"/>
      <c r="Y20" s="264"/>
      <c r="Z20" s="264"/>
      <c r="AA20" s="264"/>
      <c r="AB20" s="264"/>
      <c r="AC20" s="264"/>
    </row>
    <row r="21" spans="1:29" ht="15" customHeight="1" x14ac:dyDescent="0.25">
      <c r="A21" s="264"/>
      <c r="B21" s="1666">
        <v>15</v>
      </c>
      <c r="C21" s="2316"/>
      <c r="D21" s="2316"/>
      <c r="E21" s="2322" t="s">
        <v>2180</v>
      </c>
      <c r="F21" s="2322"/>
      <c r="G21" s="2322"/>
      <c r="H21" s="2322"/>
      <c r="I21" s="2322"/>
      <c r="J21" s="2322"/>
      <c r="K21" s="2322"/>
      <c r="L21" s="1663" t="s">
        <v>2177</v>
      </c>
      <c r="M21" s="2313" t="str">
        <f>IF(ISBLANK('Ввод исходных данных'!$D$26),"-",'Ввод исходных данных'!$D$26)</f>
        <v>-</v>
      </c>
      <c r="N21" s="2314"/>
      <c r="O21" s="2315"/>
      <c r="P21" s="264"/>
      <c r="Q21" s="264"/>
      <c r="R21" s="264"/>
      <c r="S21" s="264"/>
      <c r="T21" s="264"/>
      <c r="U21" s="264"/>
      <c r="V21" s="264"/>
      <c r="W21" s="264"/>
      <c r="X21" s="264"/>
      <c r="Y21" s="264"/>
      <c r="Z21" s="264"/>
      <c r="AA21" s="264"/>
      <c r="AB21" s="264"/>
      <c r="AC21" s="264"/>
    </row>
    <row r="22" spans="1:29" x14ac:dyDescent="0.25">
      <c r="A22" s="264"/>
      <c r="B22" s="1666">
        <v>16</v>
      </c>
      <c r="C22" s="2312" t="s">
        <v>519</v>
      </c>
      <c r="D22" s="2312"/>
      <c r="E22" s="2317" t="s">
        <v>2181</v>
      </c>
      <c r="F22" s="2317"/>
      <c r="G22" s="2317"/>
      <c r="H22" s="2317"/>
      <c r="I22" s="2317"/>
      <c r="J22" s="2317"/>
      <c r="K22" s="2317"/>
      <c r="L22" s="1663" t="s">
        <v>2171</v>
      </c>
      <c r="M22" s="2319" t="str">
        <f>IF(списки!$C$31,"да","нет")</f>
        <v>да</v>
      </c>
      <c r="N22" s="2320"/>
      <c r="O22" s="2321"/>
      <c r="P22" s="264"/>
      <c r="Q22" s="264"/>
      <c r="R22" s="264"/>
      <c r="S22" s="264"/>
      <c r="T22" s="264"/>
      <c r="U22" s="264"/>
      <c r="V22" s="264"/>
      <c r="W22" s="264"/>
      <c r="X22" s="264"/>
      <c r="Y22" s="264"/>
      <c r="Z22" s="264"/>
      <c r="AA22" s="264"/>
      <c r="AB22" s="264"/>
      <c r="AC22" s="264"/>
    </row>
    <row r="23" spans="1:29" x14ac:dyDescent="0.25">
      <c r="A23" s="264"/>
      <c r="B23" s="1666">
        <v>17</v>
      </c>
      <c r="C23" s="2312"/>
      <c r="D23" s="2312"/>
      <c r="E23" s="2317" t="s">
        <v>2182</v>
      </c>
      <c r="F23" s="2317"/>
      <c r="G23" s="2317"/>
      <c r="H23" s="2317"/>
      <c r="I23" s="2317"/>
      <c r="J23" s="2317"/>
      <c r="K23" s="2317"/>
      <c r="L23" s="1663" t="s">
        <v>2171</v>
      </c>
      <c r="M23" s="2319" t="str">
        <f>IF(списки!$C$32,"да","нет")</f>
        <v>да</v>
      </c>
      <c r="N23" s="2320"/>
      <c r="O23" s="2321"/>
      <c r="P23" s="264"/>
      <c r="Q23" s="264"/>
      <c r="R23" s="264"/>
      <c r="S23" s="264"/>
      <c r="T23" s="264"/>
      <c r="U23" s="264"/>
      <c r="V23" s="264"/>
      <c r="W23" s="264"/>
      <c r="X23" s="264"/>
      <c r="Y23" s="264"/>
      <c r="Z23" s="264"/>
      <c r="AA23" s="264"/>
      <c r="AB23" s="264"/>
      <c r="AC23" s="264"/>
    </row>
    <row r="24" spans="1:29" x14ac:dyDescent="0.25">
      <c r="A24" s="264"/>
      <c r="B24" s="1666">
        <v>18</v>
      </c>
      <c r="C24" s="2316" t="s">
        <v>757</v>
      </c>
      <c r="D24" s="2316"/>
      <c r="E24" s="2317" t="s">
        <v>2181</v>
      </c>
      <c r="F24" s="2317"/>
      <c r="G24" s="2317"/>
      <c r="H24" s="2317"/>
      <c r="I24" s="2317"/>
      <c r="J24" s="2317"/>
      <c r="K24" s="2317"/>
      <c r="L24" s="1663" t="s">
        <v>2171</v>
      </c>
      <c r="M24" s="2323" t="str">
        <f>IF(списки!$C$33,"да","нет")</f>
        <v>да</v>
      </c>
      <c r="N24" s="2324"/>
      <c r="O24" s="2325"/>
      <c r="P24" s="264"/>
      <c r="Q24" s="264"/>
      <c r="R24" s="264"/>
      <c r="S24" s="264"/>
      <c r="T24" s="264"/>
      <c r="U24" s="264"/>
      <c r="V24" s="264"/>
      <c r="W24" s="264"/>
      <c r="X24" s="264"/>
      <c r="Y24" s="264"/>
      <c r="Z24" s="264"/>
      <c r="AA24" s="264"/>
      <c r="AB24" s="264"/>
      <c r="AC24" s="264"/>
    </row>
    <row r="25" spans="1:29" x14ac:dyDescent="0.25">
      <c r="A25" s="264"/>
      <c r="B25" s="1666">
        <v>19</v>
      </c>
      <c r="C25" s="2316"/>
      <c r="D25" s="2316"/>
      <c r="E25" s="2317" t="s">
        <v>2183</v>
      </c>
      <c r="F25" s="2317"/>
      <c r="G25" s="2317"/>
      <c r="H25" s="2317"/>
      <c r="I25" s="2317"/>
      <c r="J25" s="2317"/>
      <c r="K25" s="2317"/>
      <c r="L25" s="1663" t="s">
        <v>2171</v>
      </c>
      <c r="M25" s="2323" t="str">
        <f>IF(списки!$C$34,"да","нет")</f>
        <v>нет</v>
      </c>
      <c r="N25" s="2324"/>
      <c r="O25" s="2325"/>
      <c r="P25" s="264"/>
      <c r="Q25" s="264"/>
      <c r="R25" s="264"/>
      <c r="S25" s="264"/>
      <c r="T25" s="264"/>
      <c r="U25" s="264"/>
      <c r="V25" s="264"/>
      <c r="W25" s="264"/>
      <c r="X25" s="264"/>
      <c r="Y25" s="264"/>
      <c r="Z25" s="264"/>
      <c r="AA25" s="264"/>
      <c r="AB25" s="264"/>
      <c r="AC25" s="264"/>
    </row>
    <row r="26" spans="1:29" x14ac:dyDescent="0.25">
      <c r="A26" s="264"/>
      <c r="B26" s="1666">
        <v>20</v>
      </c>
      <c r="C26" s="2316" t="s">
        <v>2184</v>
      </c>
      <c r="D26" s="2316"/>
      <c r="E26" s="2317" t="s">
        <v>2185</v>
      </c>
      <c r="F26" s="2317"/>
      <c r="G26" s="2317"/>
      <c r="H26" s="2317"/>
      <c r="I26" s="2317"/>
      <c r="J26" s="2317"/>
      <c r="K26" s="2317"/>
      <c r="L26" s="1663" t="s">
        <v>2171</v>
      </c>
      <c r="M26" s="2323" t="str">
        <f>IF(списки!$C$35,"да","нет")</f>
        <v>да</v>
      </c>
      <c r="N26" s="2324"/>
      <c r="O26" s="2325"/>
      <c r="P26" s="264"/>
      <c r="Q26" s="264"/>
      <c r="R26" s="264"/>
      <c r="S26" s="264"/>
      <c r="T26" s="264"/>
      <c r="U26" s="264"/>
      <c r="V26" s="264"/>
      <c r="W26" s="264"/>
      <c r="X26" s="264"/>
      <c r="Y26" s="264"/>
      <c r="Z26" s="264"/>
      <c r="AA26" s="264"/>
      <c r="AB26" s="264"/>
      <c r="AC26" s="264"/>
    </row>
    <row r="27" spans="1:29" x14ac:dyDescent="0.25">
      <c r="A27" s="264"/>
      <c r="B27" s="1666">
        <v>21</v>
      </c>
      <c r="C27" s="2316"/>
      <c r="D27" s="2316"/>
      <c r="E27" s="2317" t="s">
        <v>2186</v>
      </c>
      <c r="F27" s="2317"/>
      <c r="G27" s="2317"/>
      <c r="H27" s="2317"/>
      <c r="I27" s="2317"/>
      <c r="J27" s="2317"/>
      <c r="K27" s="2317"/>
      <c r="L27" s="1663" t="s">
        <v>2171</v>
      </c>
      <c r="M27" s="2323" t="str">
        <f>IF(списки!$C$36,"да","нет")</f>
        <v>нет</v>
      </c>
      <c r="N27" s="2324"/>
      <c r="O27" s="2325"/>
      <c r="P27" s="264"/>
      <c r="Q27" s="264"/>
      <c r="R27" s="264"/>
      <c r="S27" s="264"/>
      <c r="T27" s="264"/>
      <c r="U27" s="264"/>
      <c r="V27" s="264"/>
      <c r="W27" s="264"/>
      <c r="X27" s="264"/>
      <c r="Y27" s="264"/>
      <c r="Z27" s="264"/>
      <c r="AA27" s="264"/>
      <c r="AB27" s="264"/>
      <c r="AC27" s="264"/>
    </row>
    <row r="28" spans="1:29" x14ac:dyDescent="0.25">
      <c r="A28" s="264"/>
      <c r="B28" s="1666">
        <v>22</v>
      </c>
      <c r="C28" s="2316"/>
      <c r="D28" s="2316"/>
      <c r="E28" s="2317" t="s">
        <v>2187</v>
      </c>
      <c r="F28" s="2317"/>
      <c r="G28" s="2317"/>
      <c r="H28" s="2317"/>
      <c r="I28" s="2317"/>
      <c r="J28" s="2317"/>
      <c r="K28" s="2317"/>
      <c r="L28" s="1663" t="s">
        <v>2171</v>
      </c>
      <c r="M28" s="2323" t="str">
        <f>IF(списки!$C$37,"да","нет")</f>
        <v>нет</v>
      </c>
      <c r="N28" s="2324"/>
      <c r="O28" s="2325"/>
      <c r="P28" s="264"/>
      <c r="Q28" s="264"/>
      <c r="R28" s="264"/>
      <c r="S28" s="264"/>
      <c r="T28" s="264"/>
      <c r="U28" s="264"/>
      <c r="V28" s="264"/>
      <c r="W28" s="264"/>
      <c r="X28" s="264"/>
      <c r="Y28" s="264"/>
      <c r="Z28" s="264"/>
      <c r="AA28" s="264"/>
      <c r="AB28" s="264"/>
      <c r="AC28" s="264"/>
    </row>
    <row r="29" spans="1:29" x14ac:dyDescent="0.25">
      <c r="A29" s="264"/>
      <c r="B29" s="1666">
        <v>23</v>
      </c>
      <c r="C29" s="2316" t="s">
        <v>854</v>
      </c>
      <c r="D29" s="2316"/>
      <c r="E29" s="2317" t="s">
        <v>1291</v>
      </c>
      <c r="F29" s="2317"/>
      <c r="G29" s="2317"/>
      <c r="H29" s="2317"/>
      <c r="I29" s="2317"/>
      <c r="J29" s="2317"/>
      <c r="K29" s="2317"/>
      <c r="L29" s="1682" t="s">
        <v>1768</v>
      </c>
      <c r="M29" s="2313">
        <f>IF(ISBLANK('Ввод исходных данных'!$D$32),"-",'Ввод исходных данных'!$D$32)</f>
        <v>61</v>
      </c>
      <c r="N29" s="2314"/>
      <c r="O29" s="2315"/>
      <c r="P29" s="264"/>
      <c r="Q29" s="264"/>
      <c r="R29" s="264"/>
      <c r="S29" s="264"/>
      <c r="T29" s="264"/>
      <c r="U29" s="264"/>
      <c r="V29" s="264"/>
      <c r="W29" s="264"/>
      <c r="X29" s="264"/>
      <c r="Y29" s="264"/>
      <c r="Z29" s="264"/>
      <c r="AA29" s="264"/>
      <c r="AB29" s="264"/>
      <c r="AC29" s="264"/>
    </row>
    <row r="30" spans="1:29" x14ac:dyDescent="0.25">
      <c r="A30" s="264"/>
      <c r="B30" s="1666">
        <v>24</v>
      </c>
      <c r="C30" s="2316"/>
      <c r="D30" s="2316"/>
      <c r="E30" s="2330" t="s">
        <v>760</v>
      </c>
      <c r="F30" s="2330"/>
      <c r="G30" s="2330"/>
      <c r="H30" s="2330"/>
      <c r="I30" s="2330"/>
      <c r="J30" s="2330"/>
      <c r="K30" s="2330"/>
      <c r="L30" s="1682" t="s">
        <v>1768</v>
      </c>
      <c r="M30" s="2313" t="str">
        <f>IF(ISBLANK('Ввод исходных данных'!$D$33),"-",'Ввод исходных данных'!$D$33)</f>
        <v>-</v>
      </c>
      <c r="N30" s="2314"/>
      <c r="O30" s="2315"/>
      <c r="P30" s="264"/>
      <c r="Q30" s="264"/>
      <c r="R30" s="264"/>
      <c r="S30" s="264"/>
      <c r="T30" s="264"/>
      <c r="U30" s="264"/>
      <c r="V30" s="264"/>
      <c r="W30" s="264"/>
      <c r="X30" s="264"/>
      <c r="Y30" s="264"/>
      <c r="Z30" s="264"/>
      <c r="AA30" s="264"/>
      <c r="AB30" s="264"/>
      <c r="AC30" s="264"/>
    </row>
    <row r="31" spans="1:29" x14ac:dyDescent="0.25">
      <c r="A31" s="264"/>
      <c r="B31" s="1666">
        <v>25</v>
      </c>
      <c r="C31" s="2316"/>
      <c r="D31" s="2316"/>
      <c r="E31" s="2330" t="s">
        <v>761</v>
      </c>
      <c r="F31" s="2330"/>
      <c r="G31" s="2330"/>
      <c r="H31" s="2330"/>
      <c r="I31" s="2330"/>
      <c r="J31" s="2330"/>
      <c r="K31" s="2330"/>
      <c r="L31" s="1682" t="s">
        <v>1768</v>
      </c>
      <c r="M31" s="2313">
        <f>IF(ISBLANK('Ввод исходных данных'!$D$34),"-",'Ввод исходных данных'!$D$34)</f>
        <v>61</v>
      </c>
      <c r="N31" s="2314"/>
      <c r="O31" s="2315"/>
      <c r="P31" s="264"/>
      <c r="Q31" s="264"/>
      <c r="R31" s="264"/>
      <c r="S31" s="264"/>
      <c r="T31" s="264"/>
      <c r="U31" s="264"/>
      <c r="V31" s="264"/>
      <c r="W31" s="264"/>
      <c r="X31" s="264"/>
      <c r="Y31" s="264"/>
      <c r="Z31" s="264"/>
      <c r="AA31" s="264"/>
      <c r="AB31" s="264"/>
      <c r="AC31" s="264"/>
    </row>
    <row r="32" spans="1:29" x14ac:dyDescent="0.25">
      <c r="A32" s="264"/>
      <c r="B32" s="1666">
        <v>26</v>
      </c>
      <c r="C32" s="2316"/>
      <c r="D32" s="2316"/>
      <c r="E32" s="2330" t="s">
        <v>2188</v>
      </c>
      <c r="F32" s="2330"/>
      <c r="G32" s="2330"/>
      <c r="H32" s="2330"/>
      <c r="I32" s="2330"/>
      <c r="J32" s="2330"/>
      <c r="K32" s="2330"/>
      <c r="L32" s="1682" t="s">
        <v>1768</v>
      </c>
      <c r="M32" s="2313" t="str">
        <f>IF(ISBLANK('Ввод исходных данных'!$D$35),"-",'Ввод исходных данных'!$D$35)</f>
        <v>-</v>
      </c>
      <c r="N32" s="2314"/>
      <c r="O32" s="2315"/>
      <c r="P32" s="264"/>
      <c r="Q32" s="264"/>
      <c r="R32" s="264"/>
      <c r="S32" s="264"/>
      <c r="T32" s="264"/>
      <c r="U32" s="264"/>
      <c r="V32" s="264"/>
      <c r="W32" s="264"/>
      <c r="X32" s="264"/>
      <c r="Y32" s="264"/>
      <c r="Z32" s="264"/>
      <c r="AA32" s="264"/>
      <c r="AB32" s="264"/>
      <c r="AC32" s="264"/>
    </row>
    <row r="33" spans="1:29" x14ac:dyDescent="0.25">
      <c r="A33" s="264"/>
      <c r="B33" s="1666">
        <v>27</v>
      </c>
      <c r="C33" s="2316" t="s">
        <v>2189</v>
      </c>
      <c r="D33" s="2316"/>
      <c r="E33" s="2326" t="s">
        <v>2190</v>
      </c>
      <c r="F33" s="2326"/>
      <c r="G33" s="2326"/>
      <c r="H33" s="2326"/>
      <c r="I33" s="2326"/>
      <c r="J33" s="2326"/>
      <c r="K33" s="2326"/>
      <c r="L33" s="1682" t="s">
        <v>2171</v>
      </c>
      <c r="M33" s="2327" t="str">
        <f>IF(списки!$C$44,"да","нет")</f>
        <v>нет</v>
      </c>
      <c r="N33" s="2328"/>
      <c r="O33" s="2329"/>
      <c r="P33" s="264"/>
      <c r="Q33" s="264"/>
      <c r="R33" s="264"/>
      <c r="S33" s="264"/>
      <c r="T33" s="264"/>
      <c r="U33" s="264"/>
      <c r="V33" s="264"/>
      <c r="W33" s="264"/>
      <c r="X33" s="264"/>
      <c r="Y33" s="264"/>
      <c r="Z33" s="264"/>
      <c r="AA33" s="264"/>
      <c r="AB33" s="264"/>
      <c r="AC33" s="264"/>
    </row>
    <row r="34" spans="1:29" x14ac:dyDescent="0.25">
      <c r="A34" s="264"/>
      <c r="B34" s="1666">
        <v>28</v>
      </c>
      <c r="C34" s="2316"/>
      <c r="D34" s="2316"/>
      <c r="E34" s="2326" t="s">
        <v>2191</v>
      </c>
      <c r="F34" s="2326"/>
      <c r="G34" s="2326"/>
      <c r="H34" s="2326"/>
      <c r="I34" s="2326"/>
      <c r="J34" s="2326"/>
      <c r="K34" s="2326"/>
      <c r="L34" s="1682" t="s">
        <v>2171</v>
      </c>
      <c r="M34" s="2327" t="str">
        <f>IF(списки!$C$45,"да","нет")</f>
        <v>нет</v>
      </c>
      <c r="N34" s="2328"/>
      <c r="O34" s="2329"/>
      <c r="P34" s="264"/>
      <c r="Q34" s="264"/>
      <c r="R34" s="264"/>
      <c r="S34" s="264"/>
      <c r="T34" s="264"/>
      <c r="U34" s="264"/>
      <c r="V34" s="264"/>
      <c r="W34" s="264"/>
      <c r="X34" s="264"/>
      <c r="Y34" s="264"/>
      <c r="Z34" s="264"/>
      <c r="AA34" s="264"/>
      <c r="AB34" s="264"/>
      <c r="AC34" s="264"/>
    </row>
    <row r="35" spans="1:29" s="1683" customFormat="1" ht="30" customHeight="1" x14ac:dyDescent="0.25">
      <c r="A35" s="264"/>
      <c r="B35" s="2332" t="s">
        <v>2192</v>
      </c>
      <c r="C35" s="2332"/>
      <c r="D35" s="2332"/>
      <c r="E35" s="2332"/>
      <c r="F35" s="2332"/>
      <c r="G35" s="2332"/>
      <c r="H35" s="2332"/>
      <c r="I35" s="2332"/>
      <c r="J35" s="2332"/>
      <c r="K35" s="2332"/>
      <c r="L35" s="2332"/>
      <c r="M35" s="2332"/>
      <c r="N35" s="2332"/>
      <c r="O35" s="2332"/>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05" t="s">
        <v>829</v>
      </c>
      <c r="D36" s="2305"/>
      <c r="E36" s="2305"/>
      <c r="F36" s="2305"/>
      <c r="G36" s="2305"/>
      <c r="H36" s="2305"/>
      <c r="I36" s="2305"/>
      <c r="J36" s="2305"/>
      <c r="K36" s="2305"/>
      <c r="L36" s="1667" t="s">
        <v>2165</v>
      </c>
      <c r="M36" s="2305" t="s">
        <v>862</v>
      </c>
      <c r="N36" s="2305"/>
      <c r="O36" s="2305"/>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16" t="s">
        <v>2193</v>
      </c>
      <c r="D37" s="2316"/>
      <c r="E37" s="2316"/>
      <c r="F37" s="2316"/>
      <c r="G37" s="2316"/>
      <c r="H37" s="2316"/>
      <c r="I37" s="2316"/>
      <c r="J37" s="2316"/>
      <c r="K37" s="2316"/>
      <c r="L37" s="1682" t="s">
        <v>2177</v>
      </c>
      <c r="M37" s="2331">
        <f>IF(ISBLANK('Ввод исходных данных'!$G55),"-",'Ввод исходных данных'!$G55)</f>
        <v>8705.1</v>
      </c>
      <c r="N37" s="2331"/>
      <c r="O37" s="2331"/>
      <c r="P37" s="264"/>
      <c r="Q37" s="264"/>
      <c r="R37" s="264"/>
      <c r="S37" s="264"/>
      <c r="T37" s="264"/>
      <c r="U37" s="264"/>
      <c r="V37" s="264"/>
      <c r="W37" s="264"/>
      <c r="X37" s="264"/>
      <c r="Y37" s="264"/>
      <c r="Z37" s="264"/>
      <c r="AA37" s="264"/>
      <c r="AB37" s="264"/>
      <c r="AC37" s="264"/>
    </row>
    <row r="38" spans="1:29" ht="15" customHeight="1" x14ac:dyDescent="0.25">
      <c r="A38" s="264"/>
      <c r="B38" s="1666">
        <v>30</v>
      </c>
      <c r="C38" s="2316" t="s">
        <v>2194</v>
      </c>
      <c r="D38" s="2316"/>
      <c r="E38" s="2316"/>
      <c r="F38" s="2316"/>
      <c r="G38" s="2316"/>
      <c r="H38" s="2316"/>
      <c r="I38" s="2316"/>
      <c r="J38" s="2316"/>
      <c r="K38" s="2316"/>
      <c r="L38" s="1682" t="s">
        <v>2177</v>
      </c>
      <c r="M38" s="2331">
        <f>IF(ISBLANK('Ввод исходных данных'!$G56),"-",'Ввод исходных данных'!$G56)</f>
        <v>7566.1</v>
      </c>
      <c r="N38" s="2331"/>
      <c r="O38" s="2331"/>
      <c r="P38" s="264"/>
      <c r="Q38" s="264"/>
      <c r="R38" s="264"/>
      <c r="S38" s="264"/>
      <c r="T38" s="264"/>
      <c r="U38" s="264"/>
      <c r="V38" s="264"/>
      <c r="W38" s="264"/>
      <c r="X38" s="264"/>
      <c r="Y38" s="264"/>
      <c r="Z38" s="264"/>
      <c r="AA38" s="264"/>
      <c r="AB38" s="264"/>
      <c r="AC38" s="264"/>
    </row>
    <row r="39" spans="1:29" x14ac:dyDescent="0.25">
      <c r="A39" s="264"/>
      <c r="B39" s="1666">
        <v>31</v>
      </c>
      <c r="C39" s="2316" t="s">
        <v>1350</v>
      </c>
      <c r="D39" s="2316"/>
      <c r="E39" s="2316"/>
      <c r="F39" s="2316"/>
      <c r="G39" s="2316"/>
      <c r="H39" s="2316"/>
      <c r="I39" s="2316"/>
      <c r="J39" s="2316"/>
      <c r="K39" s="2316"/>
      <c r="L39" s="1682" t="s">
        <v>2177</v>
      </c>
      <c r="M39" s="2331">
        <f>IF(ISBLANK('Ввод исходных данных'!$G57),"-",'Ввод исходных данных'!$G57)</f>
        <v>4604.3999999999996</v>
      </c>
      <c r="N39" s="2331"/>
      <c r="O39" s="2331"/>
      <c r="P39" s="264"/>
      <c r="Q39" s="264"/>
      <c r="R39" s="264"/>
      <c r="S39" s="264"/>
      <c r="T39" s="264"/>
      <c r="U39" s="264"/>
      <c r="V39" s="264"/>
      <c r="W39" s="264"/>
      <c r="X39" s="264"/>
      <c r="Y39" s="264"/>
      <c r="Z39" s="264"/>
      <c r="AA39" s="264"/>
      <c r="AB39" s="264"/>
      <c r="AC39" s="264"/>
    </row>
    <row r="40" spans="1:29" x14ac:dyDescent="0.25">
      <c r="A40" s="264"/>
      <c r="B40" s="1666">
        <v>32</v>
      </c>
      <c r="C40" s="2316" t="s">
        <v>2195</v>
      </c>
      <c r="D40" s="2316"/>
      <c r="E40" s="2316"/>
      <c r="F40" s="2316"/>
      <c r="G40" s="2316"/>
      <c r="H40" s="2316"/>
      <c r="I40" s="2316"/>
      <c r="J40" s="2316"/>
      <c r="K40" s="2316"/>
      <c r="L40" s="1682" t="s">
        <v>493</v>
      </c>
      <c r="M40" s="2331">
        <f>IF(ISBLANK('Ввод исходных данных'!$G58),"-",'Ввод исходных данных'!$G58)</f>
        <v>97.44</v>
      </c>
      <c r="N40" s="2331"/>
      <c r="O40" s="2331"/>
      <c r="P40" s="264"/>
      <c r="Q40" s="264"/>
      <c r="R40" s="264"/>
      <c r="S40" s="264"/>
      <c r="T40" s="264"/>
      <c r="U40" s="264"/>
      <c r="V40" s="264"/>
      <c r="W40" s="264"/>
      <c r="X40" s="264"/>
      <c r="Y40" s="264"/>
      <c r="Z40" s="264"/>
      <c r="AA40" s="264"/>
      <c r="AB40" s="264"/>
      <c r="AC40" s="264"/>
    </row>
    <row r="41" spans="1:29" ht="15" customHeight="1" x14ac:dyDescent="0.25">
      <c r="A41" s="264"/>
      <c r="B41" s="1666">
        <v>33</v>
      </c>
      <c r="C41" s="2316" t="s">
        <v>2196</v>
      </c>
      <c r="D41" s="2316"/>
      <c r="E41" s="2316"/>
      <c r="F41" s="2316"/>
      <c r="G41" s="2316"/>
      <c r="H41" s="2316"/>
      <c r="I41" s="2316"/>
      <c r="J41" s="2316"/>
      <c r="K41" s="2316"/>
      <c r="L41" s="1682" t="s">
        <v>493</v>
      </c>
      <c r="M41" s="2331">
        <f>IF(ISBLANK('Ввод исходных данных'!$G59),"-",'Ввод исходных данных'!$G59)</f>
        <v>13.76</v>
      </c>
      <c r="N41" s="2331"/>
      <c r="O41" s="2331"/>
      <c r="P41" s="264"/>
      <c r="Q41" s="264"/>
      <c r="R41" s="264"/>
      <c r="S41" s="264"/>
      <c r="T41" s="264"/>
      <c r="U41" s="264"/>
      <c r="V41" s="264"/>
      <c r="W41" s="264"/>
      <c r="X41" s="264"/>
      <c r="Y41" s="264"/>
      <c r="Z41" s="264"/>
      <c r="AA41" s="264"/>
      <c r="AB41" s="264"/>
      <c r="AC41" s="264"/>
    </row>
    <row r="42" spans="1:29" x14ac:dyDescent="0.25">
      <c r="A42" s="264"/>
      <c r="B42" s="1666">
        <v>34</v>
      </c>
      <c r="C42" s="2316" t="s">
        <v>1395</v>
      </c>
      <c r="D42" s="2316"/>
      <c r="E42" s="2316"/>
      <c r="F42" s="2316"/>
      <c r="G42" s="2316"/>
      <c r="H42" s="2316"/>
      <c r="I42" s="2316"/>
      <c r="J42" s="2316"/>
      <c r="K42" s="2316"/>
      <c r="L42" s="1682" t="s">
        <v>493</v>
      </c>
      <c r="M42" s="2331">
        <f>IF(ISBLANK('Ввод исходных данных'!$G60),"-",'Ввод исходных данных'!$G60)</f>
        <v>25.3</v>
      </c>
      <c r="N42" s="2331"/>
      <c r="O42" s="2331"/>
      <c r="P42" s="264"/>
      <c r="Q42" s="264"/>
      <c r="R42" s="264"/>
      <c r="S42" s="264"/>
      <c r="T42" s="264"/>
      <c r="U42" s="264"/>
      <c r="V42" s="264"/>
      <c r="W42" s="264"/>
      <c r="X42" s="264"/>
      <c r="Y42" s="264"/>
      <c r="Z42" s="264"/>
      <c r="AA42" s="264"/>
      <c r="AB42" s="264"/>
      <c r="AC42" s="264"/>
    </row>
    <row r="43" spans="1:29" x14ac:dyDescent="0.25">
      <c r="A43" s="264"/>
      <c r="B43" s="1666">
        <v>35</v>
      </c>
      <c r="C43" s="2333" t="s">
        <v>2197</v>
      </c>
      <c r="D43" s="2334"/>
      <c r="E43" s="2339" t="s">
        <v>1291</v>
      </c>
      <c r="F43" s="2340"/>
      <c r="G43" s="2340"/>
      <c r="H43" s="2340"/>
      <c r="I43" s="2340"/>
      <c r="J43" s="2340"/>
      <c r="K43" s="2341"/>
      <c r="L43" s="1682" t="s">
        <v>2177</v>
      </c>
      <c r="M43" s="2331">
        <f>IF(ISBLANK('Ввод исходных данных'!$G61),"-",'Ввод исходных данных'!$G61)</f>
        <v>6501.0879999999997</v>
      </c>
      <c r="N43" s="2331"/>
      <c r="O43" s="2331"/>
      <c r="P43" s="264"/>
      <c r="Q43" s="264"/>
      <c r="R43" s="264"/>
      <c r="S43" s="264"/>
      <c r="T43" s="264"/>
      <c r="U43" s="264"/>
      <c r="V43" s="264"/>
      <c r="W43" s="264"/>
      <c r="X43" s="264"/>
      <c r="Y43" s="264"/>
      <c r="Z43" s="264"/>
      <c r="AA43" s="264"/>
      <c r="AB43" s="264"/>
      <c r="AC43" s="264"/>
    </row>
    <row r="44" spans="1:29" ht="15" customHeight="1" x14ac:dyDescent="0.25">
      <c r="A44" s="264"/>
      <c r="B44" s="1666">
        <v>36</v>
      </c>
      <c r="C44" s="2335"/>
      <c r="D44" s="2336"/>
      <c r="E44" s="2339" t="s">
        <v>843</v>
      </c>
      <c r="F44" s="2340"/>
      <c r="G44" s="2340"/>
      <c r="H44" s="2340"/>
      <c r="I44" s="2340"/>
      <c r="J44" s="2340"/>
      <c r="K44" s="2341"/>
      <c r="L44" s="1682" t="s">
        <v>2177</v>
      </c>
      <c r="M44" s="2331">
        <f>IF(ISBLANK('Ввод исходных данных'!$G62),"-",'Ввод исходных данных'!$G62)</f>
        <v>5294.8379999999997</v>
      </c>
      <c r="N44" s="2331"/>
      <c r="O44" s="2331"/>
      <c r="P44" s="264"/>
      <c r="Q44" s="264"/>
      <c r="R44" s="264"/>
      <c r="S44" s="264"/>
      <c r="T44" s="264"/>
      <c r="U44" s="264"/>
      <c r="V44" s="264"/>
      <c r="W44" s="264"/>
      <c r="X44" s="264"/>
      <c r="Y44" s="264"/>
      <c r="Z44" s="264"/>
      <c r="AA44" s="264"/>
      <c r="AB44" s="264"/>
      <c r="AC44" s="264"/>
    </row>
    <row r="45" spans="1:29" ht="15" customHeight="1" x14ac:dyDescent="0.25">
      <c r="A45" s="264"/>
      <c r="B45" s="1666">
        <v>37</v>
      </c>
      <c r="C45" s="2335"/>
      <c r="D45" s="2336"/>
      <c r="E45" s="2339" t="s">
        <v>2198</v>
      </c>
      <c r="F45" s="2340"/>
      <c r="G45" s="2340"/>
      <c r="H45" s="2340"/>
      <c r="I45" s="2340"/>
      <c r="J45" s="2340"/>
      <c r="K45" s="2341"/>
      <c r="L45" s="1682" t="s">
        <v>2177</v>
      </c>
      <c r="M45" s="2331">
        <f>IF(ISBLANK('Ввод исходных данных'!$G64),"-",'Ввод исходных данных'!$G64)</f>
        <v>1111.5</v>
      </c>
      <c r="N45" s="2331"/>
      <c r="O45" s="2331"/>
      <c r="P45" s="264"/>
      <c r="Q45" s="264"/>
      <c r="R45" s="264"/>
      <c r="S45" s="264"/>
      <c r="T45" s="264"/>
      <c r="U45" s="264"/>
      <c r="V45" s="264"/>
      <c r="W45" s="264"/>
      <c r="X45" s="264"/>
      <c r="Y45" s="264"/>
      <c r="Z45" s="264"/>
      <c r="AA45" s="264"/>
      <c r="AB45" s="264"/>
      <c r="AC45" s="264"/>
    </row>
    <row r="46" spans="1:29" ht="15" customHeight="1" x14ac:dyDescent="0.25">
      <c r="A46" s="264"/>
      <c r="B46" s="1666">
        <v>38</v>
      </c>
      <c r="C46" s="2335"/>
      <c r="D46" s="2336"/>
      <c r="E46" s="2339" t="s">
        <v>2199</v>
      </c>
      <c r="F46" s="2340"/>
      <c r="G46" s="2340"/>
      <c r="H46" s="2340"/>
      <c r="I46" s="2340"/>
      <c r="J46" s="2340"/>
      <c r="K46" s="2341"/>
      <c r="L46" s="1682" t="s">
        <v>2177</v>
      </c>
      <c r="M46" s="2331">
        <f>IF(ISBLANK('Ввод исходных данных'!$G67),"-",'Ввод исходных данных'!$G67)</f>
        <v>59.65</v>
      </c>
      <c r="N46" s="2331"/>
      <c r="O46" s="2331"/>
      <c r="P46" s="264"/>
      <c r="Q46" s="264"/>
      <c r="R46" s="264"/>
      <c r="S46" s="264"/>
      <c r="T46" s="264"/>
      <c r="U46" s="264"/>
      <c r="V46" s="264"/>
      <c r="W46" s="264"/>
      <c r="X46" s="264"/>
      <c r="Y46" s="264"/>
      <c r="Z46" s="264"/>
      <c r="AA46" s="264"/>
      <c r="AB46" s="264"/>
      <c r="AC46" s="264"/>
    </row>
    <row r="47" spans="1:29" ht="15" customHeight="1" x14ac:dyDescent="0.25">
      <c r="A47" s="264"/>
      <c r="B47" s="1666">
        <v>39</v>
      </c>
      <c r="C47" s="2335"/>
      <c r="D47" s="2336"/>
      <c r="E47" s="2339" t="s">
        <v>2200</v>
      </c>
      <c r="F47" s="2340"/>
      <c r="G47" s="2340"/>
      <c r="H47" s="2340"/>
      <c r="I47" s="2340"/>
      <c r="J47" s="2340"/>
      <c r="K47" s="2341"/>
      <c r="L47" s="1682" t="s">
        <v>2177</v>
      </c>
      <c r="M47" s="2331">
        <f>IF(ISBLANK('Ввод исходных данных'!$G70),"-",'Ввод исходных данных'!$G70)</f>
        <v>0</v>
      </c>
      <c r="N47" s="2331"/>
      <c r="O47" s="2331"/>
      <c r="P47" s="264"/>
      <c r="Q47" s="264"/>
      <c r="R47" s="264"/>
      <c r="S47" s="264"/>
      <c r="T47" s="264"/>
      <c r="U47" s="264"/>
      <c r="V47" s="264"/>
      <c r="W47" s="264"/>
      <c r="X47" s="264"/>
      <c r="Y47" s="264"/>
      <c r="Z47" s="264"/>
      <c r="AA47" s="264"/>
      <c r="AB47" s="264"/>
      <c r="AC47" s="264"/>
    </row>
    <row r="48" spans="1:29" ht="15" customHeight="1" x14ac:dyDescent="0.25">
      <c r="A48" s="264"/>
      <c r="B48" s="1666">
        <v>40</v>
      </c>
      <c r="C48" s="2337"/>
      <c r="D48" s="2338"/>
      <c r="E48" s="2339" t="s">
        <v>2201</v>
      </c>
      <c r="F48" s="2340"/>
      <c r="G48" s="2340"/>
      <c r="H48" s="2340"/>
      <c r="I48" s="2340"/>
      <c r="J48" s="2340"/>
      <c r="K48" s="2341"/>
      <c r="L48" s="1682" t="s">
        <v>2177</v>
      </c>
      <c r="M48" s="2331">
        <f>IF(ISBLANK('Ввод исходных данных'!$G77),"-",'Ввод исходных данных'!$G77)</f>
        <v>35.1</v>
      </c>
      <c r="N48" s="2331"/>
      <c r="O48" s="2331"/>
      <c r="P48" s="264"/>
      <c r="Q48" s="264"/>
      <c r="R48" s="264"/>
      <c r="S48" s="264"/>
      <c r="T48" s="264"/>
      <c r="U48" s="264"/>
      <c r="V48" s="264"/>
      <c r="W48" s="264"/>
      <c r="X48" s="264"/>
      <c r="Y48" s="264"/>
      <c r="Z48" s="264"/>
      <c r="AA48" s="264"/>
      <c r="AB48" s="264"/>
      <c r="AC48" s="264"/>
    </row>
    <row r="49" spans="1:29" x14ac:dyDescent="0.25">
      <c r="A49" s="264"/>
      <c r="B49" s="1666">
        <v>41</v>
      </c>
      <c r="C49" s="2316" t="s">
        <v>816</v>
      </c>
      <c r="D49" s="2316"/>
      <c r="E49" s="2316"/>
      <c r="F49" s="2316"/>
      <c r="G49" s="2316"/>
      <c r="H49" s="2316"/>
      <c r="I49" s="2316"/>
      <c r="J49" s="2316"/>
      <c r="K49" s="2316"/>
      <c r="L49" s="1682" t="s">
        <v>1768</v>
      </c>
      <c r="M49" s="2331">
        <f>IF(ISBLANK('Ввод исходных данных'!$G63),"-",'Ввод исходных данных'!$G63)</f>
        <v>486</v>
      </c>
      <c r="N49" s="2331"/>
      <c r="O49" s="2331"/>
      <c r="P49" s="264"/>
      <c r="Q49" s="264"/>
      <c r="R49" s="264"/>
      <c r="S49" s="264"/>
      <c r="T49" s="264"/>
      <c r="U49" s="264"/>
      <c r="V49" s="264"/>
      <c r="W49" s="264"/>
      <c r="X49" s="264"/>
      <c r="Y49" s="264"/>
      <c r="Z49" s="264"/>
      <c r="AA49" s="264"/>
      <c r="AB49" s="264"/>
      <c r="AC49" s="264"/>
    </row>
    <row r="50" spans="1:29" ht="15" customHeight="1" x14ac:dyDescent="0.25">
      <c r="A50" s="264"/>
      <c r="B50" s="1666">
        <v>42</v>
      </c>
      <c r="C50" s="2316" t="s">
        <v>2202</v>
      </c>
      <c r="D50" s="2316"/>
      <c r="E50" s="2316"/>
      <c r="F50" s="2316"/>
      <c r="G50" s="2316"/>
      <c r="H50" s="2316"/>
      <c r="I50" s="2316"/>
      <c r="J50" s="2316"/>
      <c r="K50" s="2316"/>
      <c r="L50" s="1682" t="s">
        <v>746</v>
      </c>
      <c r="M50" s="2331" t="str">
        <f>IF('Ввод исходных данных'!$D65=INDEX(WindowsOld,1),"-",'Ввод исходных данных'!$D65)</f>
        <v>дерево, двойной раздельный</v>
      </c>
      <c r="N50" s="2331"/>
      <c r="O50" s="2331"/>
      <c r="P50" s="264"/>
      <c r="Q50" s="264"/>
      <c r="R50" s="264"/>
      <c r="S50" s="264"/>
      <c r="T50" s="264"/>
      <c r="U50" s="264"/>
      <c r="V50" s="264"/>
      <c r="W50" s="264"/>
      <c r="X50" s="264"/>
      <c r="Y50" s="264"/>
      <c r="Z50" s="264"/>
      <c r="AA50" s="264"/>
      <c r="AB50" s="264"/>
      <c r="AC50" s="264"/>
    </row>
    <row r="51" spans="1:29" ht="15" customHeight="1" x14ac:dyDescent="0.25">
      <c r="A51" s="264"/>
      <c r="B51" s="1666">
        <v>43</v>
      </c>
      <c r="C51" s="2316" t="s">
        <v>1934</v>
      </c>
      <c r="D51" s="2316"/>
      <c r="E51" s="2316"/>
      <c r="F51" s="2316"/>
      <c r="G51" s="2316"/>
      <c r="H51" s="2316"/>
      <c r="I51" s="2316"/>
      <c r="J51" s="2316"/>
      <c r="K51" s="2316"/>
      <c r="L51" s="1682" t="s">
        <v>1768</v>
      </c>
      <c r="M51" s="2331">
        <f>IF(ISBLANK('Ввод исходных данных'!$G66),"-",'Ввод исходных данных'!$G66)</f>
        <v>61</v>
      </c>
      <c r="N51" s="2331"/>
      <c r="O51" s="2331"/>
      <c r="P51" s="264"/>
      <c r="Q51" s="264"/>
      <c r="R51" s="264"/>
      <c r="S51" s="264"/>
      <c r="T51" s="264"/>
      <c r="U51" s="264"/>
      <c r="V51" s="264"/>
      <c r="W51" s="264"/>
      <c r="X51" s="264"/>
      <c r="Y51" s="264"/>
      <c r="Z51" s="264"/>
      <c r="AA51" s="264"/>
      <c r="AB51" s="264"/>
      <c r="AC51" s="264"/>
    </row>
    <row r="52" spans="1:29" ht="15" customHeight="1" x14ac:dyDescent="0.25">
      <c r="A52" s="264"/>
      <c r="B52" s="1666">
        <v>44</v>
      </c>
      <c r="C52" s="2316" t="s">
        <v>2203</v>
      </c>
      <c r="D52" s="2316"/>
      <c r="E52" s="2316"/>
      <c r="F52" s="2316"/>
      <c r="G52" s="2316"/>
      <c r="H52" s="2316"/>
      <c r="I52" s="2316"/>
      <c r="J52" s="2316"/>
      <c r="K52" s="2316"/>
      <c r="L52" s="1682" t="s">
        <v>746</v>
      </c>
      <c r="M52" s="2331" t="str">
        <f>IF('Ввод исходных данных'!$D68=INDEX(WindowsOld,1),"-",'Ввод исходных данных'!$D68)</f>
        <v>дерево, двойной раздельный</v>
      </c>
      <c r="N52" s="2331"/>
      <c r="O52" s="2331"/>
      <c r="P52" s="264"/>
      <c r="Q52" s="264"/>
      <c r="R52" s="264"/>
      <c r="S52" s="264"/>
      <c r="T52" s="264"/>
      <c r="U52" s="264"/>
      <c r="V52" s="264"/>
      <c r="W52" s="264"/>
      <c r="X52" s="264"/>
      <c r="Y52" s="264"/>
      <c r="Z52" s="264"/>
      <c r="AA52" s="264"/>
      <c r="AB52" s="264"/>
      <c r="AC52" s="264"/>
    </row>
    <row r="53" spans="1:29" ht="15" customHeight="1" x14ac:dyDescent="0.25">
      <c r="A53" s="264"/>
      <c r="B53" s="1666">
        <v>45</v>
      </c>
      <c r="C53" s="2316" t="s">
        <v>1515</v>
      </c>
      <c r="D53" s="2316"/>
      <c r="E53" s="2316"/>
      <c r="F53" s="2316"/>
      <c r="G53" s="2316"/>
      <c r="H53" s="2316"/>
      <c r="I53" s="2316"/>
      <c r="J53" s="2316"/>
      <c r="K53" s="2316"/>
      <c r="L53" s="1682" t="s">
        <v>1768</v>
      </c>
      <c r="M53" s="2331">
        <f>IF(ISBLANK('Ввод исходных данных'!$G69),"-",'Ввод исходных данных'!$G69)</f>
        <v>0</v>
      </c>
      <c r="N53" s="2331"/>
      <c r="O53" s="2331"/>
      <c r="P53" s="264"/>
      <c r="Q53" s="264"/>
      <c r="R53" s="264"/>
      <c r="S53" s="264"/>
      <c r="T53" s="264"/>
      <c r="U53" s="264"/>
      <c r="V53" s="264"/>
      <c r="W53" s="264"/>
      <c r="X53" s="264"/>
      <c r="Y53" s="264"/>
      <c r="Z53" s="264"/>
      <c r="AA53" s="264"/>
      <c r="AB53" s="264"/>
      <c r="AC53" s="264"/>
    </row>
    <row r="54" spans="1:29" x14ac:dyDescent="0.25">
      <c r="A54" s="264"/>
      <c r="B54" s="1666">
        <v>46</v>
      </c>
      <c r="C54" s="2316" t="s">
        <v>1299</v>
      </c>
      <c r="D54" s="2316"/>
      <c r="E54" s="2316"/>
      <c r="F54" s="2316"/>
      <c r="G54" s="2316"/>
      <c r="H54" s="2316"/>
      <c r="I54" s="2316"/>
      <c r="J54" s="2316"/>
      <c r="K54" s="2316"/>
      <c r="L54" s="1682" t="s">
        <v>1768</v>
      </c>
      <c r="M54" s="2331">
        <f>IF(ISBLANK('Ввод исходных данных'!$G76),"-",'Ввод исходных данных'!$G76)</f>
        <v>14</v>
      </c>
      <c r="N54" s="2331"/>
      <c r="O54" s="2331"/>
      <c r="P54" s="264"/>
      <c r="Q54" s="264"/>
      <c r="R54" s="264"/>
      <c r="S54" s="264"/>
      <c r="T54" s="264"/>
      <c r="U54" s="264"/>
      <c r="V54" s="264"/>
      <c r="W54" s="264"/>
      <c r="X54" s="264"/>
      <c r="Y54" s="264"/>
      <c r="Z54" s="264"/>
      <c r="AA54" s="264"/>
      <c r="AB54" s="264"/>
      <c r="AC54" s="264"/>
    </row>
    <row r="55" spans="1:29" ht="15" customHeight="1" x14ac:dyDescent="0.25">
      <c r="A55" s="264"/>
      <c r="B55" s="1666">
        <v>47</v>
      </c>
      <c r="C55" s="2316" t="s">
        <v>2204</v>
      </c>
      <c r="D55" s="2316"/>
      <c r="E55" s="2316"/>
      <c r="F55" s="2316"/>
      <c r="G55" s="2316"/>
      <c r="H55" s="2316"/>
      <c r="I55" s="2316"/>
      <c r="J55" s="2316"/>
      <c r="K55" s="2316"/>
      <c r="L55" s="1682" t="s">
        <v>2177</v>
      </c>
      <c r="M55" s="2331">
        <f>IF(ISBLANK('Ввод исходных данных'!$G71),"-",'Ввод исходных данных'!$G71)</f>
        <v>0</v>
      </c>
      <c r="N55" s="2331"/>
      <c r="O55" s="2331"/>
      <c r="P55" s="264"/>
      <c r="Q55" s="264"/>
      <c r="R55" s="264"/>
      <c r="S55" s="264"/>
      <c r="T55" s="264"/>
      <c r="U55" s="264"/>
      <c r="V55" s="264"/>
      <c r="W55" s="264"/>
      <c r="X55" s="264"/>
      <c r="Y55" s="264"/>
      <c r="Z55" s="264"/>
      <c r="AA55" s="264"/>
      <c r="AB55" s="264"/>
      <c r="AC55" s="264"/>
    </row>
    <row r="56" spans="1:29" ht="15" customHeight="1" x14ac:dyDescent="0.25">
      <c r="A56" s="264"/>
      <c r="B56" s="1666">
        <v>48</v>
      </c>
      <c r="C56" s="2316" t="s">
        <v>2205</v>
      </c>
      <c r="D56" s="2316"/>
      <c r="E56" s="2316"/>
      <c r="F56" s="2316"/>
      <c r="G56" s="2316"/>
      <c r="H56" s="2316"/>
      <c r="I56" s="2316"/>
      <c r="J56" s="2316"/>
      <c r="K56" s="2316"/>
      <c r="L56" s="1682" t="s">
        <v>2177</v>
      </c>
      <c r="M56" s="2331">
        <f>IF(ISBLANK('Ввод исходных данных'!$G72),"-",'Ввод исходных данных'!$G72)</f>
        <v>0</v>
      </c>
      <c r="N56" s="2331"/>
      <c r="O56" s="2331"/>
      <c r="P56" s="264"/>
      <c r="Q56" s="264"/>
      <c r="R56" s="264"/>
      <c r="S56" s="264"/>
      <c r="T56" s="264"/>
      <c r="U56" s="264"/>
      <c r="V56" s="264"/>
      <c r="W56" s="264"/>
      <c r="X56" s="264"/>
      <c r="Y56" s="264"/>
      <c r="Z56" s="264"/>
      <c r="AA56" s="264"/>
      <c r="AB56" s="264"/>
      <c r="AC56" s="264"/>
    </row>
    <row r="57" spans="1:29" ht="15" customHeight="1" x14ac:dyDescent="0.25">
      <c r="A57" s="264"/>
      <c r="B57" s="1666">
        <v>49</v>
      </c>
      <c r="C57" s="2316" t="s">
        <v>2206</v>
      </c>
      <c r="D57" s="2316"/>
      <c r="E57" s="2316"/>
      <c r="F57" s="2316"/>
      <c r="G57" s="2316"/>
      <c r="H57" s="2316"/>
      <c r="I57" s="2316"/>
      <c r="J57" s="2316"/>
      <c r="K57" s="2316"/>
      <c r="L57" s="1682" t="s">
        <v>2177</v>
      </c>
      <c r="M57" s="2331">
        <f>IF(ISBLANK('Ввод исходных данных'!$G73),"-",'Ввод исходных данных'!$G73)</f>
        <v>1246.7</v>
      </c>
      <c r="N57" s="2331"/>
      <c r="O57" s="2331"/>
      <c r="P57" s="264"/>
      <c r="Q57" s="264"/>
      <c r="R57" s="264"/>
      <c r="S57" s="264"/>
      <c r="T57" s="264"/>
      <c r="U57" s="264"/>
      <c r="V57" s="264"/>
      <c r="W57" s="264"/>
      <c r="X57" s="264"/>
      <c r="Y57" s="264"/>
      <c r="Z57" s="264"/>
      <c r="AA57" s="264"/>
      <c r="AB57" s="264"/>
      <c r="AC57" s="264"/>
    </row>
    <row r="58" spans="1:29" ht="15" customHeight="1" x14ac:dyDescent="0.25">
      <c r="A58" s="264"/>
      <c r="B58" s="1666">
        <v>50</v>
      </c>
      <c r="C58" s="2316" t="s">
        <v>2350</v>
      </c>
      <c r="D58" s="2316"/>
      <c r="E58" s="2316"/>
      <c r="F58" s="2316"/>
      <c r="G58" s="2316"/>
      <c r="H58" s="2316"/>
      <c r="I58" s="2316"/>
      <c r="J58" s="2316"/>
      <c r="K58" s="2316"/>
      <c r="L58" s="1682" t="s">
        <v>2177</v>
      </c>
      <c r="M58" s="2331">
        <f>IF(ISBLANK('Ввод исходных данных'!$G74),"-",'Ввод исходных данных'!$G74)</f>
        <v>1246.7</v>
      </c>
      <c r="N58" s="2331"/>
      <c r="O58" s="2331"/>
      <c r="P58" s="264"/>
      <c r="Q58" s="264"/>
      <c r="R58" s="264"/>
      <c r="S58" s="264"/>
      <c r="T58" s="264"/>
      <c r="U58" s="264"/>
      <c r="V58" s="264"/>
      <c r="W58" s="264"/>
      <c r="X58" s="264"/>
      <c r="Y58" s="264"/>
      <c r="Z58" s="264"/>
      <c r="AA58" s="264"/>
      <c r="AB58" s="264"/>
      <c r="AC58" s="264"/>
    </row>
    <row r="59" spans="1:29" x14ac:dyDescent="0.25">
      <c r="A59" s="264"/>
      <c r="B59" s="1666">
        <v>51</v>
      </c>
      <c r="C59" s="2316" t="s">
        <v>2207</v>
      </c>
      <c r="D59" s="2316"/>
      <c r="E59" s="2316"/>
      <c r="F59" s="2316"/>
      <c r="G59" s="2316"/>
      <c r="H59" s="2316"/>
      <c r="I59" s="2316"/>
      <c r="J59" s="2316"/>
      <c r="K59" s="2316"/>
      <c r="L59" s="1682" t="s">
        <v>2177</v>
      </c>
      <c r="M59" s="2331">
        <f>IF(ISBLANK('Ввод исходных данных'!$G75),"-",'Ввод исходных данных'!$G75)</f>
        <v>0</v>
      </c>
      <c r="N59" s="2331"/>
      <c r="O59" s="2331"/>
      <c r="P59" s="264"/>
      <c r="Q59" s="264"/>
      <c r="R59" s="264"/>
      <c r="S59" s="264"/>
      <c r="T59" s="264"/>
      <c r="U59" s="264"/>
      <c r="V59" s="264"/>
      <c r="W59" s="264"/>
      <c r="X59" s="264"/>
      <c r="Y59" s="264"/>
      <c r="Z59" s="264"/>
      <c r="AA59" s="264"/>
      <c r="AB59" s="264"/>
      <c r="AC59" s="264"/>
    </row>
    <row r="60" spans="1:29" s="1681" customFormat="1" ht="30" customHeight="1" x14ac:dyDescent="0.25">
      <c r="A60" s="1648"/>
      <c r="B60" s="2332" t="s">
        <v>2208</v>
      </c>
      <c r="C60" s="2332"/>
      <c r="D60" s="2332"/>
      <c r="E60" s="2332"/>
      <c r="F60" s="2332"/>
      <c r="G60" s="2332"/>
      <c r="H60" s="2332"/>
      <c r="I60" s="2332"/>
      <c r="J60" s="2332"/>
      <c r="K60" s="2332"/>
      <c r="L60" s="2332"/>
      <c r="M60" s="2332"/>
      <c r="N60" s="2332"/>
      <c r="O60" s="2332"/>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05" t="s">
        <v>829</v>
      </c>
      <c r="D61" s="2305"/>
      <c r="E61" s="2305"/>
      <c r="F61" s="2305"/>
      <c r="G61" s="2305"/>
      <c r="H61" s="2305"/>
      <c r="I61" s="2305"/>
      <c r="J61" s="2305"/>
      <c r="K61" s="2305"/>
      <c r="L61" s="1667" t="s">
        <v>2165</v>
      </c>
      <c r="M61" s="2305" t="s">
        <v>862</v>
      </c>
      <c r="N61" s="2305"/>
      <c r="O61" s="2305"/>
      <c r="P61" s="1646"/>
      <c r="Q61" s="1646"/>
      <c r="R61" s="1646"/>
      <c r="S61" s="1646"/>
      <c r="T61" s="1646"/>
      <c r="U61" s="1646"/>
      <c r="V61" s="1646"/>
      <c r="W61" s="1646"/>
      <c r="X61" s="1646"/>
      <c r="Y61" s="1646"/>
      <c r="Z61" s="1646"/>
      <c r="AA61" s="1646"/>
      <c r="AB61" s="1646"/>
      <c r="AC61" s="1646"/>
    </row>
    <row r="62" spans="1:29" x14ac:dyDescent="0.25">
      <c r="A62" s="264"/>
      <c r="B62" s="1666">
        <v>52</v>
      </c>
      <c r="C62" s="2316" t="s">
        <v>514</v>
      </c>
      <c r="D62" s="2316"/>
      <c r="E62" s="2316"/>
      <c r="F62" s="2316"/>
      <c r="G62" s="2316"/>
      <c r="H62" s="2316"/>
      <c r="I62" s="2316"/>
      <c r="J62" s="2316"/>
      <c r="K62" s="2316"/>
      <c r="L62" s="1682" t="s">
        <v>2209</v>
      </c>
      <c r="M62" s="2331" t="str">
        <f>IF(ISBLANK('Ввод исходных данных'!$D$81),"-",'Ввод исходных данных'!$D$81)</f>
        <v>-</v>
      </c>
      <c r="N62" s="2331"/>
      <c r="O62" s="2331"/>
      <c r="P62" s="264"/>
      <c r="Q62" s="264"/>
      <c r="R62" s="264"/>
      <c r="S62" s="264"/>
      <c r="T62" s="264"/>
      <c r="U62" s="264"/>
      <c r="V62" s="264"/>
      <c r="W62" s="264"/>
      <c r="X62" s="264"/>
      <c r="Y62" s="264"/>
      <c r="Z62" s="264"/>
      <c r="AA62" s="264"/>
      <c r="AB62" s="264"/>
      <c r="AC62" s="264"/>
    </row>
    <row r="63" spans="1:29" x14ac:dyDescent="0.25">
      <c r="A63" s="264"/>
      <c r="B63" s="1666">
        <v>53</v>
      </c>
      <c r="C63" s="2316" t="s">
        <v>1506</v>
      </c>
      <c r="D63" s="2316"/>
      <c r="E63" s="2316"/>
      <c r="F63" s="2316"/>
      <c r="G63" s="2316"/>
      <c r="H63" s="2316"/>
      <c r="I63" s="2316"/>
      <c r="J63" s="2316"/>
      <c r="K63" s="2316"/>
      <c r="L63" s="1682" t="s">
        <v>2209</v>
      </c>
      <c r="M63" s="2331" t="str">
        <f>IF(ISBLANK('Ввод исходных данных'!$D$82),"-",'Ввод исходных данных'!$D$82)</f>
        <v>-</v>
      </c>
      <c r="N63" s="2331"/>
      <c r="O63" s="2331"/>
      <c r="P63" s="264"/>
      <c r="Q63" s="264"/>
      <c r="R63" s="264"/>
      <c r="S63" s="264"/>
      <c r="T63" s="264"/>
      <c r="U63" s="264"/>
      <c r="V63" s="264"/>
      <c r="W63" s="264"/>
      <c r="X63" s="264"/>
      <c r="Y63" s="264"/>
      <c r="Z63" s="264"/>
      <c r="AA63" s="264"/>
      <c r="AB63" s="264"/>
      <c r="AC63" s="264"/>
    </row>
    <row r="64" spans="1:29" x14ac:dyDescent="0.25">
      <c r="A64" s="264"/>
      <c r="B64" s="1666">
        <v>54</v>
      </c>
      <c r="C64" s="2316" t="s">
        <v>1507</v>
      </c>
      <c r="D64" s="2316"/>
      <c r="E64" s="2316"/>
      <c r="F64" s="2316"/>
      <c r="G64" s="2316"/>
      <c r="H64" s="2316"/>
      <c r="I64" s="2316"/>
      <c r="J64" s="2316"/>
      <c r="K64" s="2316"/>
      <c r="L64" s="1682" t="s">
        <v>2209</v>
      </c>
      <c r="M64" s="2331" t="str">
        <f>IF(ISBLANK('Ввод исходных данных'!$D$83),"-",'Ввод исходных данных'!$D$83)</f>
        <v>-</v>
      </c>
      <c r="N64" s="2331"/>
      <c r="O64" s="2331"/>
      <c r="P64" s="264"/>
      <c r="Q64" s="264"/>
      <c r="R64" s="264"/>
      <c r="S64" s="264"/>
      <c r="T64" s="264"/>
      <c r="U64" s="264"/>
      <c r="V64" s="264"/>
      <c r="W64" s="264"/>
      <c r="X64" s="264"/>
      <c r="Y64" s="264"/>
      <c r="Z64" s="264"/>
      <c r="AA64" s="264"/>
      <c r="AB64" s="264"/>
      <c r="AC64" s="264"/>
    </row>
    <row r="65" spans="1:29" x14ac:dyDescent="0.25">
      <c r="A65" s="264"/>
      <c r="B65" s="1666">
        <v>55</v>
      </c>
      <c r="C65" s="2316" t="s">
        <v>1511</v>
      </c>
      <c r="D65" s="2316"/>
      <c r="E65" s="2316"/>
      <c r="F65" s="2316"/>
      <c r="G65" s="2316"/>
      <c r="H65" s="2316"/>
      <c r="I65" s="2316"/>
      <c r="J65" s="2316"/>
      <c r="K65" s="2316"/>
      <c r="L65" s="1682" t="s">
        <v>2209</v>
      </c>
      <c r="M65" s="2331" t="str">
        <f>IF(ISBLANK('Ввод исходных данных'!$D$84),"-",'Ввод исходных данных'!$D$84)</f>
        <v>-</v>
      </c>
      <c r="N65" s="2331"/>
      <c r="O65" s="2331"/>
      <c r="P65" s="264"/>
      <c r="Q65" s="264"/>
      <c r="R65" s="264"/>
      <c r="S65" s="264"/>
      <c r="T65" s="264"/>
      <c r="U65" s="264"/>
      <c r="V65" s="264"/>
      <c r="W65" s="264"/>
      <c r="X65" s="264"/>
      <c r="Y65" s="264"/>
      <c r="Z65" s="264"/>
      <c r="AA65" s="264"/>
      <c r="AB65" s="264"/>
      <c r="AC65" s="264"/>
    </row>
    <row r="66" spans="1:29" ht="15" customHeight="1" x14ac:dyDescent="0.25">
      <c r="A66" s="264"/>
      <c r="B66" s="1666">
        <v>56</v>
      </c>
      <c r="C66" s="2316" t="s">
        <v>1508</v>
      </c>
      <c r="D66" s="2316"/>
      <c r="E66" s="2316"/>
      <c r="F66" s="2316"/>
      <c r="G66" s="2316"/>
      <c r="H66" s="2316"/>
      <c r="I66" s="2316"/>
      <c r="J66" s="2316"/>
      <c r="K66" s="2316"/>
      <c r="L66" s="1682" t="s">
        <v>2209</v>
      </c>
      <c r="M66" s="2331" t="str">
        <f>IF(ISBLANK('Ввод исходных данных'!$D$85),"-",'Ввод исходных данных'!$D$85)</f>
        <v>-</v>
      </c>
      <c r="N66" s="2331"/>
      <c r="O66" s="2331"/>
      <c r="P66" s="264"/>
      <c r="Q66" s="264"/>
      <c r="R66" s="264"/>
      <c r="S66" s="264"/>
      <c r="T66" s="264"/>
      <c r="U66" s="264"/>
      <c r="V66" s="264"/>
      <c r="W66" s="264"/>
      <c r="X66" s="264"/>
      <c r="Y66" s="264"/>
      <c r="Z66" s="264"/>
      <c r="AA66" s="264"/>
      <c r="AB66" s="264"/>
      <c r="AC66" s="264"/>
    </row>
    <row r="67" spans="1:29" ht="15" customHeight="1" x14ac:dyDescent="0.25">
      <c r="A67" s="264"/>
      <c r="B67" s="1666">
        <v>57</v>
      </c>
      <c r="C67" s="2316" t="s">
        <v>1509</v>
      </c>
      <c r="D67" s="2316"/>
      <c r="E67" s="2316"/>
      <c r="F67" s="2316"/>
      <c r="G67" s="2316"/>
      <c r="H67" s="2316"/>
      <c r="I67" s="2316"/>
      <c r="J67" s="2316"/>
      <c r="K67" s="2316"/>
      <c r="L67" s="1682" t="s">
        <v>2209</v>
      </c>
      <c r="M67" s="2331" t="str">
        <f>IF(ISBLANK('Ввод исходных данных'!$D$86),"-",'Ввод исходных данных'!$D$86)</f>
        <v>-</v>
      </c>
      <c r="N67" s="2331"/>
      <c r="O67" s="2331"/>
      <c r="P67" s="264"/>
      <c r="Q67" s="264"/>
      <c r="R67" s="264"/>
      <c r="S67" s="264"/>
      <c r="T67" s="264"/>
      <c r="U67" s="264"/>
      <c r="V67" s="264"/>
      <c r="W67" s="264"/>
      <c r="X67" s="264"/>
      <c r="Y67" s="264"/>
      <c r="Z67" s="264"/>
      <c r="AA67" s="264"/>
      <c r="AB67" s="264"/>
      <c r="AC67" s="264"/>
    </row>
    <row r="68" spans="1:29" x14ac:dyDescent="0.25">
      <c r="A68" s="264"/>
      <c r="B68" s="1666">
        <v>58</v>
      </c>
      <c r="C68" s="2316" t="s">
        <v>1516</v>
      </c>
      <c r="D68" s="2316"/>
      <c r="E68" s="2316"/>
      <c r="F68" s="2316"/>
      <c r="G68" s="2316"/>
      <c r="H68" s="2316"/>
      <c r="I68" s="2316"/>
      <c r="J68" s="2316"/>
      <c r="K68" s="2316"/>
      <c r="L68" s="1682" t="s">
        <v>2209</v>
      </c>
      <c r="M68" s="2331" t="str">
        <f>IF(ISBLANK('Ввод исходных данных'!$D$87),"-",'Ввод исходных данных'!$D$87)</f>
        <v>-</v>
      </c>
      <c r="N68" s="2331"/>
      <c r="O68" s="2331"/>
      <c r="P68" s="264"/>
      <c r="Q68" s="264"/>
      <c r="R68" s="264"/>
      <c r="S68" s="264"/>
      <c r="T68" s="264"/>
      <c r="U68" s="264"/>
      <c r="V68" s="264"/>
      <c r="W68" s="264"/>
      <c r="X68" s="264"/>
      <c r="Y68" s="264"/>
      <c r="Z68" s="264"/>
      <c r="AA68" s="264"/>
      <c r="AB68" s="264"/>
      <c r="AC68" s="264"/>
    </row>
    <row r="69" spans="1:29" s="1683" customFormat="1" ht="30" customHeight="1" x14ac:dyDescent="0.25">
      <c r="A69" s="264"/>
      <c r="B69" s="2332" t="s">
        <v>2210</v>
      </c>
      <c r="C69" s="2332"/>
      <c r="D69" s="2332"/>
      <c r="E69" s="2332"/>
      <c r="F69" s="2332"/>
      <c r="G69" s="2332"/>
      <c r="H69" s="2332"/>
      <c r="I69" s="2332"/>
      <c r="J69" s="2332"/>
      <c r="K69" s="2332"/>
      <c r="L69" s="2332"/>
      <c r="M69" s="2332"/>
      <c r="N69" s="2332"/>
      <c r="O69" s="2332"/>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05" t="s">
        <v>829</v>
      </c>
      <c r="D70" s="2305"/>
      <c r="E70" s="2305"/>
      <c r="F70" s="2305"/>
      <c r="G70" s="2305"/>
      <c r="H70" s="2305"/>
      <c r="I70" s="2305"/>
      <c r="J70" s="2305"/>
      <c r="K70" s="2305"/>
      <c r="L70" s="1667" t="s">
        <v>2165</v>
      </c>
      <c r="M70" s="2305" t="s">
        <v>862</v>
      </c>
      <c r="N70" s="2305"/>
      <c r="O70" s="2305"/>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16" t="s">
        <v>2211</v>
      </c>
      <c r="D71" s="2316"/>
      <c r="E71" s="2316"/>
      <c r="F71" s="2316"/>
      <c r="G71" s="2316"/>
      <c r="H71" s="2316"/>
      <c r="I71" s="2316"/>
      <c r="J71" s="2316"/>
      <c r="K71" s="2316"/>
      <c r="L71" s="1682" t="s">
        <v>2212</v>
      </c>
      <c r="M71" s="2342" t="str">
        <f>IF(ISBLANK('Ввод исходных данных'!$D$94),"-",'Ввод исходных данных'!$D$94)</f>
        <v>-</v>
      </c>
      <c r="N71" s="2342"/>
      <c r="O71" s="2342"/>
      <c r="P71" s="264"/>
      <c r="Q71" s="264"/>
      <c r="R71" s="264"/>
      <c r="S71" s="264"/>
      <c r="T71" s="264"/>
      <c r="U71" s="264"/>
      <c r="V71" s="264"/>
      <c r="W71" s="264"/>
      <c r="X71" s="264"/>
      <c r="Y71" s="264"/>
      <c r="Z71" s="264"/>
      <c r="AA71" s="264"/>
      <c r="AB71" s="264"/>
      <c r="AC71" s="264"/>
    </row>
    <row r="72" spans="1:29" ht="15" customHeight="1" x14ac:dyDescent="0.25">
      <c r="A72" s="264"/>
      <c r="B72" s="1666">
        <v>60</v>
      </c>
      <c r="C72" s="2316" t="s">
        <v>2213</v>
      </c>
      <c r="D72" s="2316"/>
      <c r="E72" s="2316"/>
      <c r="F72" s="2316"/>
      <c r="G72" s="2316"/>
      <c r="H72" s="2316"/>
      <c r="I72" s="2316"/>
      <c r="J72" s="2316"/>
      <c r="K72" s="2316"/>
      <c r="L72" s="1682" t="s">
        <v>2212</v>
      </c>
      <c r="M72" s="2342" t="str">
        <f>IF(ISBLANK('Ввод исходных данных'!$D$95),"-",'Ввод исходных данных'!$D$95)</f>
        <v>-</v>
      </c>
      <c r="N72" s="2342"/>
      <c r="O72" s="2342"/>
      <c r="P72" s="264"/>
      <c r="Q72" s="264"/>
      <c r="R72" s="264"/>
      <c r="S72" s="264"/>
      <c r="T72" s="264"/>
      <c r="U72" s="264"/>
      <c r="V72" s="264"/>
      <c r="W72" s="264"/>
      <c r="X72" s="264"/>
      <c r="Y72" s="264"/>
      <c r="Z72" s="264"/>
      <c r="AA72" s="264"/>
      <c r="AB72" s="264"/>
      <c r="AC72" s="264"/>
    </row>
    <row r="73" spans="1:29" ht="15" customHeight="1" x14ac:dyDescent="0.25">
      <c r="A73" s="264"/>
      <c r="B73" s="1666">
        <v>61</v>
      </c>
      <c r="C73" s="2316" t="s">
        <v>2214</v>
      </c>
      <c r="D73" s="2316"/>
      <c r="E73" s="2316"/>
      <c r="F73" s="2316"/>
      <c r="G73" s="2316"/>
      <c r="H73" s="2316"/>
      <c r="I73" s="2316"/>
      <c r="J73" s="2316"/>
      <c r="K73" s="2316"/>
      <c r="L73" s="1682" t="s">
        <v>2212</v>
      </c>
      <c r="M73" s="2342" t="str">
        <f>IF(ISBLANK('Ввод исходных данных'!$D$96),"-",'Ввод исходных данных'!$D$96)</f>
        <v>-</v>
      </c>
      <c r="N73" s="2342"/>
      <c r="O73" s="2342"/>
      <c r="P73" s="264"/>
      <c r="Q73" s="264"/>
      <c r="R73" s="264"/>
      <c r="S73" s="264"/>
      <c r="T73" s="264"/>
      <c r="U73" s="264"/>
      <c r="V73" s="264"/>
      <c r="W73" s="264"/>
      <c r="X73" s="264"/>
      <c r="Y73" s="264"/>
      <c r="Z73" s="264"/>
      <c r="AA73" s="264"/>
      <c r="AB73" s="264"/>
      <c r="AC73" s="264"/>
    </row>
    <row r="74" spans="1:29" x14ac:dyDescent="0.25">
      <c r="A74" s="264"/>
      <c r="B74" s="1666">
        <v>62</v>
      </c>
      <c r="C74" s="2316" t="s">
        <v>762</v>
      </c>
      <c r="D74" s="2316"/>
      <c r="E74" s="2316"/>
      <c r="F74" s="2316"/>
      <c r="G74" s="2316"/>
      <c r="H74" s="2316"/>
      <c r="I74" s="2316"/>
      <c r="J74" s="2316"/>
      <c r="K74" s="2316"/>
      <c r="L74" s="1682" t="s">
        <v>746</v>
      </c>
      <c r="M74" s="2342" t="str">
        <f>IF('Система отопления'!$F$8=1,"однотрубная","двухтрубная")</f>
        <v>однотрубная</v>
      </c>
      <c r="N74" s="2342"/>
      <c r="O74" s="2342"/>
      <c r="P74" s="264"/>
      <c r="Q74" s="264"/>
      <c r="R74" s="264"/>
      <c r="S74" s="264"/>
      <c r="T74" s="264"/>
      <c r="U74" s="264"/>
      <c r="V74" s="264"/>
      <c r="W74" s="264"/>
      <c r="X74" s="264"/>
      <c r="Y74" s="264"/>
      <c r="Z74" s="264"/>
      <c r="AA74" s="264"/>
      <c r="AB74" s="264"/>
      <c r="AC74" s="264"/>
    </row>
    <row r="75" spans="1:29" x14ac:dyDescent="0.25">
      <c r="A75" s="264"/>
      <c r="B75" s="1666">
        <v>63</v>
      </c>
      <c r="C75" s="2316" t="s">
        <v>797</v>
      </c>
      <c r="D75" s="2316"/>
      <c r="E75" s="2316"/>
      <c r="F75" s="2316"/>
      <c r="G75" s="2316"/>
      <c r="H75" s="2316"/>
      <c r="I75" s="2316"/>
      <c r="J75" s="2316"/>
      <c r="K75" s="2316"/>
      <c r="L75" s="1682" t="s">
        <v>2171</v>
      </c>
      <c r="M75" s="2342" t="str">
        <f>IF('Система отопления'!$G$11,"да","нет")</f>
        <v>нет</v>
      </c>
      <c r="N75" s="2342"/>
      <c r="O75" s="2342"/>
      <c r="P75" s="264"/>
      <c r="Q75" s="264"/>
      <c r="R75" s="264"/>
      <c r="S75" s="264"/>
      <c r="T75" s="264"/>
      <c r="U75" s="264"/>
      <c r="V75" s="264"/>
      <c r="W75" s="264"/>
      <c r="X75" s="264"/>
      <c r="Y75" s="264"/>
      <c r="Z75" s="264"/>
      <c r="AA75" s="264"/>
      <c r="AB75" s="264"/>
      <c r="AC75" s="264"/>
    </row>
    <row r="76" spans="1:29" ht="30" customHeight="1" x14ac:dyDescent="0.25">
      <c r="A76" s="264"/>
      <c r="B76" s="1666">
        <v>64</v>
      </c>
      <c r="C76" s="2316" t="s">
        <v>1675</v>
      </c>
      <c r="D76" s="2316"/>
      <c r="E76" s="2316"/>
      <c r="F76" s="2316"/>
      <c r="G76" s="2316"/>
      <c r="H76" s="2316"/>
      <c r="I76" s="2316"/>
      <c r="J76" s="2316"/>
      <c r="K76" s="2316"/>
      <c r="L76" s="1682" t="s">
        <v>746</v>
      </c>
      <c r="M76" s="2343"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43"/>
      <c r="O76" s="2343"/>
      <c r="P76" s="264"/>
      <c r="Q76" s="264"/>
      <c r="R76" s="264"/>
      <c r="S76" s="264"/>
      <c r="T76" s="264"/>
      <c r="U76" s="264"/>
      <c r="V76" s="264"/>
      <c r="W76" s="264"/>
      <c r="X76" s="264"/>
      <c r="Y76" s="264"/>
      <c r="Z76" s="264"/>
      <c r="AA76" s="264"/>
      <c r="AB76" s="264"/>
      <c r="AC76" s="264"/>
    </row>
    <row r="77" spans="1:29" s="1683" customFormat="1" ht="30" customHeight="1" x14ac:dyDescent="0.25">
      <c r="A77" s="264"/>
      <c r="B77" s="2332" t="s">
        <v>2215</v>
      </c>
      <c r="C77" s="2344"/>
      <c r="D77" s="2344"/>
      <c r="E77" s="2344"/>
      <c r="F77" s="2344"/>
      <c r="G77" s="2344"/>
      <c r="H77" s="2344"/>
      <c r="I77" s="2344"/>
      <c r="J77" s="2344"/>
      <c r="K77" s="2344"/>
      <c r="L77" s="2344"/>
      <c r="M77" s="2344"/>
      <c r="N77" s="2344"/>
      <c r="O77" s="2344"/>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05" t="s">
        <v>829</v>
      </c>
      <c r="D78" s="2305"/>
      <c r="E78" s="2305"/>
      <c r="F78" s="2305"/>
      <c r="G78" s="2305"/>
      <c r="H78" s="2305"/>
      <c r="I78" s="2305"/>
      <c r="J78" s="2305"/>
      <c r="K78" s="2305"/>
      <c r="L78" s="1667" t="s">
        <v>2165</v>
      </c>
      <c r="M78" s="2306" t="s">
        <v>862</v>
      </c>
      <c r="N78" s="2307"/>
      <c r="O78" s="2308"/>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16" t="s">
        <v>2216</v>
      </c>
      <c r="D79" s="2316"/>
      <c r="E79" s="2316"/>
      <c r="F79" s="2316"/>
      <c r="G79" s="2316"/>
      <c r="H79" s="2316"/>
      <c r="I79" s="2316"/>
      <c r="J79" s="2316"/>
      <c r="K79" s="2316"/>
      <c r="L79" s="1682" t="s">
        <v>746</v>
      </c>
      <c r="M79" s="2323" t="str">
        <f>IF(OR(ISBLANK('Ввод исходных данных'!$C$118),ISBLANK('Ввод исходных данных'!$D$118)),"-",MID('Ввод исходных данных'!$C$118,1,LEN('Ввод исходных данных'!$C$118)-4))</f>
        <v>-</v>
      </c>
      <c r="N79" s="2324"/>
      <c r="O79" s="2325"/>
      <c r="P79" s="264"/>
      <c r="Q79" s="264"/>
      <c r="R79" s="264"/>
      <c r="S79" s="264"/>
      <c r="T79" s="264"/>
      <c r="U79" s="264"/>
      <c r="V79" s="264"/>
      <c r="W79" s="264"/>
      <c r="X79" s="264"/>
      <c r="Y79" s="264"/>
      <c r="Z79" s="264"/>
      <c r="AA79" s="264"/>
      <c r="AB79" s="264"/>
      <c r="AC79" s="264"/>
    </row>
    <row r="80" spans="1:29" x14ac:dyDescent="0.25">
      <c r="A80" s="264"/>
      <c r="B80" s="1666">
        <v>66</v>
      </c>
      <c r="C80" s="2316" t="s">
        <v>2217</v>
      </c>
      <c r="D80" s="2316"/>
      <c r="E80" s="2316"/>
      <c r="F80" s="2316"/>
      <c r="G80" s="2316"/>
      <c r="H80" s="2316"/>
      <c r="I80" s="2316"/>
      <c r="J80" s="2316"/>
      <c r="K80" s="2316"/>
      <c r="L80" s="1682" t="s">
        <v>2212</v>
      </c>
      <c r="M80" s="2327" t="str">
        <f>IF(ISBLANK('Ввод исходных данных'!$D$118),"-",'Ввод исходных данных'!$D$118)</f>
        <v>-</v>
      </c>
      <c r="N80" s="2328"/>
      <c r="O80" s="2329"/>
      <c r="P80" s="264"/>
      <c r="Q80" s="264"/>
      <c r="R80" s="264"/>
      <c r="S80" s="264"/>
      <c r="T80" s="264"/>
      <c r="U80" s="264"/>
      <c r="V80" s="264"/>
      <c r="W80" s="264"/>
      <c r="X80" s="264"/>
      <c r="Y80" s="264"/>
      <c r="Z80" s="264"/>
      <c r="AA80" s="264"/>
      <c r="AB80" s="264"/>
      <c r="AC80" s="264"/>
    </row>
    <row r="81" spans="1:29" ht="15" customHeight="1" x14ac:dyDescent="0.25">
      <c r="A81" s="264"/>
      <c r="B81" s="1666">
        <v>67</v>
      </c>
      <c r="C81" s="2316" t="s">
        <v>2218</v>
      </c>
      <c r="D81" s="2316"/>
      <c r="E81" s="2316"/>
      <c r="F81" s="2316"/>
      <c r="G81" s="2316"/>
      <c r="H81" s="2316"/>
      <c r="I81" s="2316"/>
      <c r="J81" s="2316"/>
      <c r="K81" s="2316"/>
      <c r="L81" s="1682" t="s">
        <v>2212</v>
      </c>
      <c r="M81" s="2327" t="str">
        <f>IF(ISBLANK('Ввод исходных данных'!$D$119),"-",'Ввод исходных данных'!$D$119)</f>
        <v>-</v>
      </c>
      <c r="N81" s="2328"/>
      <c r="O81" s="2329"/>
      <c r="P81" s="264"/>
      <c r="Q81" s="264"/>
      <c r="R81" s="264"/>
      <c r="S81" s="264"/>
      <c r="T81" s="264"/>
      <c r="U81" s="264"/>
      <c r="V81" s="264"/>
      <c r="W81" s="264"/>
      <c r="X81" s="264"/>
      <c r="Y81" s="264"/>
      <c r="Z81" s="264"/>
      <c r="AA81" s="264"/>
      <c r="AB81" s="264"/>
      <c r="AC81" s="264"/>
    </row>
    <row r="82" spans="1:29" ht="15" customHeight="1" x14ac:dyDescent="0.25">
      <c r="A82" s="264"/>
      <c r="B82" s="1666">
        <v>68</v>
      </c>
      <c r="C82" s="2316" t="s">
        <v>2219</v>
      </c>
      <c r="D82" s="2316"/>
      <c r="E82" s="2316"/>
      <c r="F82" s="2316"/>
      <c r="G82" s="2316"/>
      <c r="H82" s="2316"/>
      <c r="I82" s="2316"/>
      <c r="J82" s="2316"/>
      <c r="K82" s="2316"/>
      <c r="L82" s="1682" t="s">
        <v>2212</v>
      </c>
      <c r="M82" s="2327" t="str">
        <f>IF(ISBLANK('Ввод исходных данных'!$D$120),"-",'Ввод исходных данных'!$D$120)</f>
        <v>-</v>
      </c>
      <c r="N82" s="2328"/>
      <c r="O82" s="2329"/>
      <c r="P82" s="264"/>
      <c r="Q82" s="264"/>
      <c r="R82" s="264"/>
      <c r="S82" s="264"/>
      <c r="T82" s="264"/>
      <c r="U82" s="264"/>
      <c r="V82" s="264"/>
      <c r="W82" s="264"/>
      <c r="X82" s="264"/>
      <c r="Y82" s="264"/>
      <c r="Z82" s="264"/>
      <c r="AA82" s="264"/>
      <c r="AB82" s="264"/>
      <c r="AC82" s="264"/>
    </row>
    <row r="83" spans="1:29" x14ac:dyDescent="0.25">
      <c r="A83" s="264"/>
      <c r="B83" s="1666">
        <v>69</v>
      </c>
      <c r="C83" s="2316" t="s">
        <v>2220</v>
      </c>
      <c r="D83" s="2316"/>
      <c r="E83" s="2316"/>
      <c r="F83" s="2316"/>
      <c r="G83" s="2316"/>
      <c r="H83" s="2316"/>
      <c r="I83" s="2316"/>
      <c r="J83" s="2316"/>
      <c r="K83" s="2316"/>
      <c r="L83" s="1682" t="s">
        <v>2221</v>
      </c>
      <c r="M83" s="2327" t="str">
        <f>SUM('Ввод исходных данных'!D127:D132)&amp;IF(COUNTIF('Ввод исходных данных'!D127:D132,"&gt;0")&lt;=1,""," ("&amp;IF(MID(P83,1,1)=";",MID(P83,3,LEN(P83)-2),P83)&amp;")")</f>
        <v>39 (11; 12; 16)</v>
      </c>
      <c r="N83" s="2328"/>
      <c r="O83" s="2329"/>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11; 12; 16</v>
      </c>
      <c r="Q83" s="264"/>
      <c r="R83" s="264"/>
      <c r="S83" s="264"/>
      <c r="T83" s="264"/>
      <c r="U83" s="264"/>
      <c r="V83" s="264"/>
      <c r="W83" s="264"/>
      <c r="X83" s="264"/>
      <c r="Y83" s="264"/>
      <c r="Z83" s="264"/>
      <c r="AA83" s="264"/>
      <c r="AB83" s="264"/>
      <c r="AC83" s="264"/>
    </row>
    <row r="84" spans="1:29" ht="15" customHeight="1" x14ac:dyDescent="0.25">
      <c r="A84" s="264"/>
      <c r="B84" s="1666">
        <v>70</v>
      </c>
      <c r="C84" s="2316" t="s">
        <v>2403</v>
      </c>
      <c r="D84" s="2316"/>
      <c r="E84" s="2316"/>
      <c r="F84" s="2316"/>
      <c r="G84" s="2316"/>
      <c r="H84" s="2316"/>
      <c r="I84" s="2316"/>
      <c r="J84" s="2316"/>
      <c r="K84" s="2316"/>
      <c r="L84" s="1682" t="s">
        <v>746</v>
      </c>
      <c r="M84" s="2327" t="str">
        <f>IF(MID(P84,1,1)=";",MID(P84,3,LEN(P84)-2),IF(P84="","-",P84))</f>
        <v>Июнь; Июль; Август</v>
      </c>
      <c r="N84" s="2328"/>
      <c r="O84" s="2329"/>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 Июль; Август</v>
      </c>
      <c r="Q84" s="264"/>
      <c r="R84" s="264"/>
      <c r="S84" s="264"/>
      <c r="T84" s="264"/>
      <c r="U84" s="264"/>
      <c r="V84" s="264"/>
      <c r="W84" s="264"/>
      <c r="X84" s="264"/>
      <c r="Y84" s="264"/>
      <c r="Z84" s="264"/>
      <c r="AA84" s="264"/>
      <c r="AB84" s="264"/>
      <c r="AC84" s="264"/>
    </row>
    <row r="85" spans="1:29" ht="30" customHeight="1" x14ac:dyDescent="0.25">
      <c r="A85" s="264"/>
      <c r="B85" s="1666">
        <v>71</v>
      </c>
      <c r="C85" s="2316" t="s">
        <v>783</v>
      </c>
      <c r="D85" s="2316"/>
      <c r="E85" s="2316"/>
      <c r="F85" s="2316"/>
      <c r="G85" s="2316"/>
      <c r="H85" s="2316"/>
      <c r="I85" s="2316"/>
      <c r="J85" s="2316"/>
      <c r="K85" s="2316"/>
      <c r="L85" s="1682" t="s">
        <v>746</v>
      </c>
      <c r="M85" s="2327" t="str">
        <f>IF(ISBLANK('Ввод исходных данных'!$D$121),"-",'Ввод исходных данных'!$D$121)</f>
        <v>-</v>
      </c>
      <c r="N85" s="2328"/>
      <c r="O85" s="2329"/>
      <c r="P85" s="264"/>
      <c r="Q85" s="264"/>
      <c r="R85" s="264"/>
      <c r="S85" s="264"/>
      <c r="T85" s="264"/>
      <c r="U85" s="264"/>
      <c r="V85" s="264"/>
      <c r="W85" s="264"/>
      <c r="X85" s="264"/>
      <c r="Y85" s="264"/>
      <c r="Z85" s="264"/>
      <c r="AA85" s="264"/>
      <c r="AB85" s="264"/>
      <c r="AC85" s="264"/>
    </row>
    <row r="86" spans="1:29" ht="15" customHeight="1" x14ac:dyDescent="0.25">
      <c r="A86" s="264"/>
      <c r="B86" s="1666">
        <v>72</v>
      </c>
      <c r="C86" s="2316" t="s">
        <v>2222</v>
      </c>
      <c r="D86" s="2316"/>
      <c r="E86" s="2316"/>
      <c r="F86" s="2316"/>
      <c r="G86" s="2316"/>
      <c r="H86" s="2316"/>
      <c r="I86" s="2316"/>
      <c r="J86" s="2316"/>
      <c r="K86" s="2316"/>
      <c r="L86" s="1682" t="s">
        <v>2212</v>
      </c>
      <c r="M86" s="2327" t="str">
        <f>IF(ISBLANK('Ввод исходных данных'!$D$122),"-",'Ввод исходных данных'!$D$122)</f>
        <v>-</v>
      </c>
      <c r="N86" s="2328"/>
      <c r="O86" s="2329"/>
      <c r="P86" s="264"/>
      <c r="Q86" s="264"/>
      <c r="R86" s="264"/>
      <c r="S86" s="264"/>
      <c r="T86" s="264"/>
      <c r="U86" s="264"/>
      <c r="V86" s="264"/>
      <c r="W86" s="264"/>
      <c r="X86" s="264"/>
      <c r="Y86" s="264"/>
      <c r="Z86" s="264"/>
      <c r="AA86" s="264"/>
      <c r="AB86" s="264"/>
      <c r="AC86" s="264"/>
    </row>
    <row r="87" spans="1:29" ht="30" customHeight="1" x14ac:dyDescent="0.25">
      <c r="A87" s="264"/>
      <c r="B87" s="1666">
        <v>73</v>
      </c>
      <c r="C87" s="2316" t="s">
        <v>1393</v>
      </c>
      <c r="D87" s="2316"/>
      <c r="E87" s="2316"/>
      <c r="F87" s="2316"/>
      <c r="G87" s="2316"/>
      <c r="H87" s="2316"/>
      <c r="I87" s="2316"/>
      <c r="J87" s="2316"/>
      <c r="K87" s="2316"/>
      <c r="L87" s="1682" t="s">
        <v>746</v>
      </c>
      <c r="M87" s="2323"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24"/>
      <c r="O87" s="2325"/>
      <c r="P87" s="264"/>
      <c r="Q87" s="264"/>
      <c r="R87" s="264"/>
      <c r="S87" s="264"/>
      <c r="T87" s="264"/>
      <c r="U87" s="264"/>
      <c r="V87" s="264"/>
      <c r="W87" s="264"/>
      <c r="X87" s="264"/>
      <c r="Y87" s="264"/>
      <c r="Z87" s="264"/>
      <c r="AA87" s="264"/>
      <c r="AB87" s="264"/>
      <c r="AC87" s="264"/>
    </row>
    <row r="88" spans="1:29" x14ac:dyDescent="0.25">
      <c r="A88" s="264"/>
      <c r="B88" s="1666">
        <v>74</v>
      </c>
      <c r="C88" s="2333" t="s">
        <v>2223</v>
      </c>
      <c r="D88" s="2334"/>
      <c r="E88" s="2345" t="s">
        <v>2224</v>
      </c>
      <c r="F88" s="2346"/>
      <c r="G88" s="2346"/>
      <c r="H88" s="2346"/>
      <c r="I88" s="2346"/>
      <c r="J88" s="2346"/>
      <c r="K88" s="2347"/>
      <c r="L88" s="1682" t="s">
        <v>2171</v>
      </c>
      <c r="M88" s="2327" t="str">
        <f>IF('Система ГВС'!$G$15,"да","нет")</f>
        <v>да</v>
      </c>
      <c r="N88" s="2328"/>
      <c r="O88" s="2329"/>
      <c r="P88" s="264"/>
      <c r="Q88" s="264"/>
      <c r="R88" s="264"/>
      <c r="S88" s="264"/>
      <c r="T88" s="264"/>
      <c r="U88" s="264"/>
      <c r="V88" s="264"/>
      <c r="W88" s="264"/>
      <c r="X88" s="264"/>
      <c r="Y88" s="264"/>
      <c r="Z88" s="264"/>
      <c r="AA88" s="264"/>
      <c r="AB88" s="264"/>
      <c r="AC88" s="264"/>
    </row>
    <row r="89" spans="1:29" x14ac:dyDescent="0.25">
      <c r="A89" s="264"/>
      <c r="B89" s="1666">
        <v>75</v>
      </c>
      <c r="C89" s="2335"/>
      <c r="D89" s="2336"/>
      <c r="E89" s="2345" t="s">
        <v>730</v>
      </c>
      <c r="F89" s="2346"/>
      <c r="G89" s="2346"/>
      <c r="H89" s="2346"/>
      <c r="I89" s="2346"/>
      <c r="J89" s="2346"/>
      <c r="K89" s="2347"/>
      <c r="L89" s="1682" t="s">
        <v>2171</v>
      </c>
      <c r="M89" s="2327" t="str">
        <f>IF('Система ГВС'!$G$16,"да","нет")</f>
        <v>да</v>
      </c>
      <c r="N89" s="2328"/>
      <c r="O89" s="2329"/>
      <c r="P89" s="264"/>
      <c r="Q89" s="264"/>
      <c r="R89" s="264"/>
      <c r="S89" s="264"/>
      <c r="T89" s="264"/>
      <c r="U89" s="264"/>
      <c r="V89" s="264"/>
      <c r="W89" s="264"/>
      <c r="X89" s="264"/>
      <c r="Y89" s="264"/>
      <c r="Z89" s="264"/>
      <c r="AA89" s="264"/>
      <c r="AB89" s="264"/>
      <c r="AC89" s="264"/>
    </row>
    <row r="90" spans="1:29" x14ac:dyDescent="0.25">
      <c r="A90" s="264"/>
      <c r="B90" s="1666">
        <v>76</v>
      </c>
      <c r="C90" s="2335"/>
      <c r="D90" s="2336"/>
      <c r="E90" s="2345" t="s">
        <v>2225</v>
      </c>
      <c r="F90" s="2346"/>
      <c r="G90" s="2346"/>
      <c r="H90" s="2346"/>
      <c r="I90" s="2346"/>
      <c r="J90" s="2346"/>
      <c r="K90" s="2347"/>
      <c r="L90" s="1682" t="s">
        <v>2171</v>
      </c>
      <c r="M90" s="2327" t="str">
        <f>IF('Система ГВС'!$G$17,"да","нет")</f>
        <v>нет</v>
      </c>
      <c r="N90" s="2328"/>
      <c r="O90" s="2329"/>
      <c r="P90" s="264"/>
      <c r="Q90" s="264"/>
      <c r="R90" s="264"/>
      <c r="S90" s="264"/>
      <c r="T90" s="264"/>
      <c r="U90" s="264"/>
      <c r="V90" s="264"/>
      <c r="W90" s="264"/>
      <c r="X90" s="264"/>
      <c r="Y90" s="264"/>
      <c r="Z90" s="264"/>
      <c r="AA90" s="264"/>
      <c r="AB90" s="264"/>
      <c r="AC90" s="264"/>
    </row>
    <row r="91" spans="1:29" s="1683" customFormat="1" ht="30" customHeight="1" x14ac:dyDescent="0.25">
      <c r="A91" s="264"/>
      <c r="B91" s="2332" t="s">
        <v>2226</v>
      </c>
      <c r="C91" s="2332"/>
      <c r="D91" s="2332"/>
      <c r="E91" s="2332"/>
      <c r="F91" s="2332"/>
      <c r="G91" s="2332"/>
      <c r="H91" s="2332"/>
      <c r="I91" s="2332"/>
      <c r="J91" s="2332"/>
      <c r="K91" s="2332"/>
      <c r="L91" s="2332"/>
      <c r="M91" s="2332"/>
      <c r="N91" s="2332"/>
      <c r="O91" s="2332"/>
      <c r="P91" s="264"/>
      <c r="Q91" s="264"/>
      <c r="R91" s="264"/>
      <c r="S91" s="264"/>
      <c r="T91" s="264"/>
      <c r="U91" s="264"/>
      <c r="V91" s="264"/>
      <c r="W91" s="264"/>
      <c r="X91" s="264"/>
      <c r="Y91" s="264"/>
      <c r="Z91" s="264"/>
      <c r="AA91" s="264"/>
      <c r="AB91" s="264"/>
      <c r="AC91" s="264"/>
    </row>
    <row r="92" spans="1:29" s="1684" customFormat="1" ht="60" customHeight="1" x14ac:dyDescent="0.25">
      <c r="A92" s="1649"/>
      <c r="B92" s="2351" t="s">
        <v>2147</v>
      </c>
      <c r="C92" s="2351" t="s">
        <v>1676</v>
      </c>
      <c r="D92" s="2351"/>
      <c r="E92" s="2351"/>
      <c r="F92" s="2351" t="s">
        <v>2227</v>
      </c>
      <c r="G92" s="2351"/>
      <c r="H92" s="2351" t="s">
        <v>2228</v>
      </c>
      <c r="I92" s="2351"/>
      <c r="J92" s="2351" t="s">
        <v>2229</v>
      </c>
      <c r="K92" s="2351"/>
      <c r="L92" s="2351" t="s">
        <v>2230</v>
      </c>
      <c r="M92" s="2351"/>
      <c r="N92" s="2351" t="s">
        <v>2231</v>
      </c>
      <c r="O92" s="2351"/>
      <c r="P92" s="1649"/>
      <c r="Q92" s="1649"/>
      <c r="R92" s="1649"/>
      <c r="S92" s="1649"/>
      <c r="T92" s="1649"/>
      <c r="U92" s="1649"/>
      <c r="V92" s="1649"/>
      <c r="W92" s="1649"/>
      <c r="X92" s="1649"/>
      <c r="Y92" s="1649"/>
      <c r="Z92" s="1649"/>
      <c r="AA92" s="1649"/>
      <c r="AB92" s="1649"/>
      <c r="AC92" s="1649"/>
    </row>
    <row r="93" spans="1:29" s="1683" customFormat="1" x14ac:dyDescent="0.25">
      <c r="A93" s="1650"/>
      <c r="B93" s="2351"/>
      <c r="C93" s="2351"/>
      <c r="D93" s="2351"/>
      <c r="E93" s="2351"/>
      <c r="F93" s="2348" t="s">
        <v>2036</v>
      </c>
      <c r="G93" s="2348"/>
      <c r="H93" s="2351"/>
      <c r="I93" s="2351"/>
      <c r="J93" s="2348" t="s">
        <v>1768</v>
      </c>
      <c r="K93" s="2348"/>
      <c r="L93" s="2348" t="s">
        <v>2057</v>
      </c>
      <c r="M93" s="2348"/>
      <c r="N93" s="2351"/>
      <c r="O93" s="2351"/>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12" t="s">
        <v>1679</v>
      </c>
      <c r="D94" s="2312"/>
      <c r="E94" s="2312"/>
      <c r="F94" s="2349" t="str">
        <f>IF(OR(J94="-",L94="-",ISBLANK('Ввод исходных данных'!$H151)),"-",'Ввод исходных данных'!$H151)</f>
        <v>-</v>
      </c>
      <c r="G94" s="2349"/>
      <c r="H94" s="2350" t="str">
        <f>IF(OR(J94="-",L94="-",ISBLANK('Ввод исходных данных'!$E151)),"-",'Ввод исходных данных'!$E151)</f>
        <v>другие осветительные приборы</v>
      </c>
      <c r="I94" s="2350"/>
      <c r="J94" s="2349">
        <f>IF(ISBLANK('Ввод исходных данных'!D$151),"-",'Ввод исходных данных'!$D$151)</f>
        <v>4</v>
      </c>
      <c r="K94" s="2349"/>
      <c r="L94" s="2349">
        <f>IF(ISBLANK('Ввод исходных данных'!$F$151),"-",'Ввод исходных данных'!$F$151)</f>
        <v>200</v>
      </c>
      <c r="M94" s="2349"/>
      <c r="N94" s="2349" t="str">
        <f>IF(OR(J94="-",L94="-",ISBLANK('Ввод исходных данных'!$G151)),"-",'Ввод исходных данных'!$G151)</f>
        <v>нет</v>
      </c>
      <c r="O94" s="2349"/>
      <c r="P94" s="264"/>
      <c r="Q94" s="264"/>
      <c r="R94" s="264"/>
      <c r="S94" s="264"/>
      <c r="T94" s="264"/>
      <c r="U94" s="264"/>
      <c r="V94" s="264"/>
      <c r="W94" s="264"/>
      <c r="X94" s="264"/>
      <c r="Y94" s="264"/>
      <c r="Z94" s="264"/>
      <c r="AA94" s="264"/>
      <c r="AB94" s="264"/>
      <c r="AC94" s="264"/>
    </row>
    <row r="95" spans="1:29" ht="30" customHeight="1" x14ac:dyDescent="0.25">
      <c r="A95" s="264"/>
      <c r="B95" s="1666">
        <v>78</v>
      </c>
      <c r="C95" s="2312" t="s">
        <v>1680</v>
      </c>
      <c r="D95" s="2312"/>
      <c r="E95" s="2312"/>
      <c r="F95" s="2349" t="str">
        <f>IF(OR(J95="-",L95="-",ISBLANK('Ввод исходных данных'!$H152)),"-",'Ввод исходных данных'!$H152)</f>
        <v>-</v>
      </c>
      <c r="G95" s="2349"/>
      <c r="H95" s="2350" t="str">
        <f>IF(OR(J95="-",L95="-",ISBLANK('Ввод исходных данных'!$E152)),"-",'Ввод исходных данных'!$E152)</f>
        <v>светодиодные осветительные приборы</v>
      </c>
      <c r="I95" s="2350"/>
      <c r="J95" s="2349">
        <f>IF(ISBLANK('Ввод исходных данных'!D$152),"-",'Ввод исходных данных'!$D$152)</f>
        <v>144</v>
      </c>
      <c r="K95" s="2349"/>
      <c r="L95" s="2349">
        <f>IF(ISBLANK('Ввод исходных данных'!$F$152),"-",'Ввод исходных данных'!$F$152)</f>
        <v>5</v>
      </c>
      <c r="M95" s="2349"/>
      <c r="N95" s="2349" t="str">
        <f>IF(OR(J95="-",L95="-",ISBLANK('Ввод исходных данных'!$G152)),"-",'Ввод исходных данных'!$G152)</f>
        <v>да</v>
      </c>
      <c r="O95" s="2349"/>
      <c r="P95" s="264"/>
      <c r="Q95" s="264"/>
      <c r="R95" s="264"/>
      <c r="S95" s="264"/>
      <c r="T95" s="264"/>
      <c r="U95" s="264"/>
      <c r="V95" s="264"/>
      <c r="W95" s="264"/>
      <c r="X95" s="264"/>
      <c r="Y95" s="264"/>
      <c r="Z95" s="264"/>
      <c r="AA95" s="264"/>
      <c r="AB95" s="264"/>
      <c r="AC95" s="264"/>
    </row>
    <row r="96" spans="1:29" ht="30" customHeight="1" x14ac:dyDescent="0.25">
      <c r="A96" s="264"/>
      <c r="B96" s="1666">
        <v>79</v>
      </c>
      <c r="C96" s="2312" t="s">
        <v>1681</v>
      </c>
      <c r="D96" s="2312"/>
      <c r="E96" s="2312"/>
      <c r="F96" s="2349" t="str">
        <f>IF(OR(J96="-",L96="-",ISBLANK('Ввод исходных данных'!$H153)),"-",'Ввод исходных данных'!$H153)</f>
        <v>-</v>
      </c>
      <c r="G96" s="2349"/>
      <c r="H96" s="2350" t="str">
        <f>IF(OR(J96="-",L96="-",ISBLANK('Ввод исходных данных'!$E153)),"-",'Ввод исходных данных'!$E153)</f>
        <v>-</v>
      </c>
      <c r="I96" s="2350"/>
      <c r="J96" s="2349" t="str">
        <f>IF(ISBLANK('Ввод исходных данных'!D$153),"-",'Ввод исходных данных'!$D$153)</f>
        <v>-</v>
      </c>
      <c r="K96" s="2349"/>
      <c r="L96" s="2349" t="str">
        <f>IF(ISBLANK('Ввод исходных данных'!$F$153),"-",'Ввод исходных данных'!$F$153)</f>
        <v>-</v>
      </c>
      <c r="M96" s="2349"/>
      <c r="N96" s="2349" t="str">
        <f>IF(OR(J96="-",L96="-",ISBLANK('Ввод исходных данных'!$G153)),"-",'Ввод исходных данных'!$G153)</f>
        <v>-</v>
      </c>
      <c r="O96" s="2349"/>
      <c r="P96" s="264"/>
      <c r="Q96" s="264"/>
      <c r="R96" s="264"/>
      <c r="S96" s="264"/>
      <c r="T96" s="264"/>
      <c r="U96" s="264"/>
      <c r="V96" s="264"/>
      <c r="W96" s="264"/>
      <c r="X96" s="264"/>
      <c r="Y96" s="264"/>
      <c r="Z96" s="264"/>
      <c r="AA96" s="264"/>
      <c r="AB96" s="264"/>
      <c r="AC96" s="264"/>
    </row>
    <row r="97" spans="1:29" ht="30" customHeight="1" x14ac:dyDescent="0.25">
      <c r="A97" s="264"/>
      <c r="B97" s="1666">
        <v>80</v>
      </c>
      <c r="C97" s="2312" t="s">
        <v>1678</v>
      </c>
      <c r="D97" s="2312"/>
      <c r="E97" s="2312"/>
      <c r="F97" s="2349" t="str">
        <f>IF(OR(J97="-",L97="-",ISBLANK('Ввод исходных данных'!$H154)),"-",'Ввод исходных данных'!$H154)</f>
        <v>-</v>
      </c>
      <c r="G97" s="2349"/>
      <c r="H97" s="2350" t="str">
        <f>IF(OR(J97="-",L97="-",ISBLANK('Ввод исходных данных'!$E154)),"-",'Ввод исходных данных'!$E154)</f>
        <v>светодиодные осветительные приборы</v>
      </c>
      <c r="I97" s="2350"/>
      <c r="J97" s="2349">
        <f>IF(ISBLANK('Ввод исходных данных'!D$154),"-",'Ввод исходных данных'!$D$154)</f>
        <v>20</v>
      </c>
      <c r="K97" s="2349"/>
      <c r="L97" s="2349">
        <f>IF(ISBLANK('Ввод исходных данных'!$F$154),"-",'Ввод исходных данных'!$F$154)</f>
        <v>5</v>
      </c>
      <c r="M97" s="2349"/>
      <c r="N97" s="2349" t="str">
        <f>IF(OR(J97="-",L97="-",ISBLANK('Ввод исходных данных'!$G154)),"-",'Ввод исходных данных'!$G154)</f>
        <v>нет</v>
      </c>
      <c r="O97" s="2349"/>
      <c r="P97" s="264"/>
      <c r="Q97" s="264"/>
      <c r="R97" s="264"/>
      <c r="S97" s="264"/>
      <c r="T97" s="264"/>
      <c r="U97" s="264"/>
      <c r="V97" s="264"/>
      <c r="W97" s="264"/>
      <c r="X97" s="264"/>
      <c r="Y97" s="264"/>
      <c r="Z97" s="264"/>
      <c r="AA97" s="264"/>
      <c r="AB97" s="264"/>
      <c r="AC97" s="264"/>
    </row>
    <row r="98" spans="1:29" ht="30" customHeight="1" x14ac:dyDescent="0.25">
      <c r="A98" s="264"/>
      <c r="B98" s="1666">
        <v>81</v>
      </c>
      <c r="C98" s="2312" t="s">
        <v>1409</v>
      </c>
      <c r="D98" s="2312"/>
      <c r="E98" s="2312"/>
      <c r="F98" s="2349" t="str">
        <f>IF(OR(J98="-",L98="-",ISBLANK('Ввод исходных данных'!$H155)),"-",'Ввод исходных данных'!$H155)</f>
        <v>-</v>
      </c>
      <c r="G98" s="2349"/>
      <c r="H98" s="2350" t="str">
        <f>IF(OR(J98="-",L98="-",ISBLANK('Ввод исходных данных'!$E155)),"-",'Ввод исходных данных'!$E155)</f>
        <v>-</v>
      </c>
      <c r="I98" s="2350"/>
      <c r="J98" s="2349" t="str">
        <f>IF(ISBLANK('Ввод исходных данных'!D$155),"-",'Ввод исходных данных'!$D$155)</f>
        <v>-</v>
      </c>
      <c r="K98" s="2349"/>
      <c r="L98" s="2349" t="str">
        <f>IF(ISBLANK('Ввод исходных данных'!$F$155),"-",'Ввод исходных данных'!$F$155)</f>
        <v>-</v>
      </c>
      <c r="M98" s="2349"/>
      <c r="N98" s="2349" t="str">
        <f>IF(OR(J98="-",L98="-",ISBLANK('Ввод исходных данных'!$G155)),"-",'Ввод исходных данных'!$G155)</f>
        <v>-</v>
      </c>
      <c r="O98" s="2349"/>
      <c r="P98" s="264"/>
      <c r="Q98" s="264"/>
      <c r="R98" s="264"/>
      <c r="S98" s="264"/>
      <c r="T98" s="264"/>
      <c r="U98" s="264"/>
      <c r="V98" s="264"/>
      <c r="W98" s="264"/>
      <c r="X98" s="264"/>
      <c r="Y98" s="264"/>
      <c r="Z98" s="264"/>
      <c r="AA98" s="264"/>
      <c r="AB98" s="264"/>
      <c r="AC98" s="264"/>
    </row>
    <row r="99" spans="1:29" ht="30" customHeight="1" x14ac:dyDescent="0.25">
      <c r="A99" s="264"/>
      <c r="B99" s="1666">
        <v>82</v>
      </c>
      <c r="C99" s="2312" t="s">
        <v>1830</v>
      </c>
      <c r="D99" s="2312"/>
      <c r="E99" s="2312"/>
      <c r="F99" s="2349" t="str">
        <f>IF(OR(J99="-",L99="-",ISBLANK('Ввод исходных данных'!$H156)),"-",'Ввод исходных данных'!$H156)</f>
        <v>-</v>
      </c>
      <c r="G99" s="2349"/>
      <c r="H99" s="2350" t="str">
        <f>IF(OR(J99="-",L99="-",ISBLANK('Ввод исходных данных'!$E156)),"-",'Ввод исходных данных'!$E156)</f>
        <v>дуговые ртутные люминесцентные лампы (ДРЛ)</v>
      </c>
      <c r="I99" s="2350"/>
      <c r="J99" s="2349">
        <f>IF(ISBLANK('Ввод исходных данных'!D$156),"-",'Ввод исходных данных'!$D$156)</f>
        <v>4</v>
      </c>
      <c r="K99" s="2349"/>
      <c r="L99" s="2349">
        <f>IF(ISBLANK('Ввод исходных данных'!$F$156),"-",'Ввод исходных данных'!$F$156)</f>
        <v>250</v>
      </c>
      <c r="M99" s="2349"/>
      <c r="N99" s="2349" t="str">
        <f>IF(OR(J99="-",L99="-",ISBLANK('Ввод исходных данных'!$G156)),"-",'Ввод исходных данных'!$G156)</f>
        <v>да</v>
      </c>
      <c r="O99" s="2349"/>
      <c r="P99" s="264"/>
      <c r="Q99" s="264"/>
      <c r="R99" s="264"/>
      <c r="S99" s="264"/>
      <c r="T99" s="264"/>
      <c r="U99" s="264"/>
      <c r="V99" s="264"/>
      <c r="W99" s="264"/>
      <c r="X99" s="264"/>
      <c r="Y99" s="264"/>
      <c r="Z99" s="264"/>
      <c r="AA99" s="264"/>
      <c r="AB99" s="264"/>
      <c r="AC99" s="264"/>
    </row>
    <row r="100" spans="1:29" s="1683" customFormat="1" ht="30" customHeight="1" x14ac:dyDescent="0.25">
      <c r="A100" s="264"/>
      <c r="B100" s="2332" t="s">
        <v>2232</v>
      </c>
      <c r="C100" s="2332"/>
      <c r="D100" s="2332"/>
      <c r="E100" s="2332"/>
      <c r="F100" s="2332"/>
      <c r="G100" s="2332"/>
      <c r="H100" s="2332"/>
      <c r="I100" s="2332"/>
      <c r="J100" s="2332"/>
      <c r="K100" s="2332"/>
      <c r="L100" s="2332"/>
      <c r="M100" s="2332"/>
      <c r="N100" s="2332"/>
      <c r="O100" s="2332"/>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05" t="s">
        <v>829</v>
      </c>
      <c r="D101" s="2305"/>
      <c r="E101" s="2305"/>
      <c r="F101" s="2305"/>
      <c r="G101" s="2305"/>
      <c r="H101" s="2305"/>
      <c r="I101" s="2305"/>
      <c r="J101" s="2305"/>
      <c r="K101" s="2305"/>
      <c r="L101" s="1667" t="s">
        <v>2165</v>
      </c>
      <c r="M101" s="2306" t="s">
        <v>862</v>
      </c>
      <c r="N101" s="2307"/>
      <c r="O101" s="2308"/>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3" t="s">
        <v>2233</v>
      </c>
      <c r="D102" s="2343"/>
      <c r="E102" s="2352" t="s">
        <v>1291</v>
      </c>
      <c r="F102" s="2352"/>
      <c r="G102" s="2352"/>
      <c r="H102" s="2352"/>
      <c r="I102" s="2352"/>
      <c r="J102" s="2352"/>
      <c r="K102" s="2352"/>
      <c r="L102" s="1682" t="s">
        <v>1768</v>
      </c>
      <c r="M102" s="2353">
        <f>IF(ISBLANK('Ввод исходных данных'!$D$159),"-",'Ввод исходных данных'!$D$159)</f>
        <v>4</v>
      </c>
      <c r="N102" s="2354"/>
      <c r="O102" s="2355"/>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3"/>
      <c r="D103" s="2343"/>
      <c r="E103" s="2318" t="s">
        <v>2234</v>
      </c>
      <c r="F103" s="2318"/>
      <c r="G103" s="2318"/>
      <c r="H103" s="2318"/>
      <c r="I103" s="2318"/>
      <c r="J103" s="2318"/>
      <c r="K103" s="2318"/>
      <c r="L103" s="1682" t="s">
        <v>1768</v>
      </c>
      <c r="M103" s="2353">
        <f>IF(ISBLANK('Ввод исходных данных'!$D$160),"-",'Ввод исходных данных'!$D$160)</f>
        <v>4</v>
      </c>
      <c r="N103" s="2354"/>
      <c r="O103" s="2355"/>
      <c r="P103" s="264"/>
      <c r="Q103" s="264"/>
      <c r="R103" s="264"/>
      <c r="S103" s="264"/>
      <c r="T103" s="264"/>
      <c r="U103" s="264"/>
      <c r="V103" s="264"/>
      <c r="W103" s="264"/>
      <c r="X103" s="264"/>
      <c r="Y103" s="264"/>
      <c r="Z103" s="264"/>
      <c r="AA103" s="264"/>
      <c r="AB103" s="264"/>
      <c r="AC103" s="264"/>
    </row>
    <row r="104" spans="1:29" x14ac:dyDescent="0.25">
      <c r="A104" s="264"/>
      <c r="B104" s="1666">
        <v>85</v>
      </c>
      <c r="C104" s="2316" t="s">
        <v>2235</v>
      </c>
      <c r="D104" s="2316"/>
      <c r="E104" s="2316"/>
      <c r="F104" s="2316"/>
      <c r="G104" s="2316"/>
      <c r="H104" s="2316"/>
      <c r="I104" s="2316"/>
      <c r="J104" s="2316"/>
      <c r="K104" s="2316"/>
      <c r="L104" s="1682" t="s">
        <v>1524</v>
      </c>
      <c r="M104" s="2353">
        <f>IF(ISBLANK('Ввод исходных данных'!$D$161),"-",'Ввод исходных данных'!$D$161)</f>
        <v>22</v>
      </c>
      <c r="N104" s="2354"/>
      <c r="O104" s="2355"/>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16" t="s">
        <v>2236</v>
      </c>
      <c r="D105" s="2316"/>
      <c r="E105" s="2316"/>
      <c r="F105" s="2316"/>
      <c r="G105" s="2316"/>
      <c r="H105" s="2316"/>
      <c r="I105" s="2316"/>
      <c r="J105" s="2316"/>
      <c r="K105" s="2316"/>
      <c r="L105" s="1682" t="s">
        <v>2036</v>
      </c>
      <c r="M105" s="2353" t="str">
        <f>IF(OR(M102="-",ISBLANK('Ввод исходных данных'!$D$162)),"-",'Ввод исходных данных'!$D$162)</f>
        <v>-</v>
      </c>
      <c r="N105" s="2354"/>
      <c r="O105" s="2355"/>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16" t="s">
        <v>2237</v>
      </c>
      <c r="D106" s="2316"/>
      <c r="E106" s="2352" t="s">
        <v>1291</v>
      </c>
      <c r="F106" s="2352"/>
      <c r="G106" s="2352"/>
      <c r="H106" s="2352"/>
      <c r="I106" s="2352"/>
      <c r="J106" s="2352"/>
      <c r="K106" s="2352"/>
      <c r="L106" s="1682" t="s">
        <v>1768</v>
      </c>
      <c r="M106" s="2353" t="str">
        <f>IF(ISBLANK('Ввод исходных данных'!$D165),"-",'Ввод исходных данных'!$D165)</f>
        <v>-</v>
      </c>
      <c r="N106" s="2354"/>
      <c r="O106" s="2355"/>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16"/>
      <c r="D107" s="2316"/>
      <c r="E107" s="2318" t="s">
        <v>2238</v>
      </c>
      <c r="F107" s="2318"/>
      <c r="G107" s="2318"/>
      <c r="H107" s="2318"/>
      <c r="I107" s="2318"/>
      <c r="J107" s="2318"/>
      <c r="K107" s="2318"/>
      <c r="L107" s="1682" t="s">
        <v>1768</v>
      </c>
      <c r="M107" s="2353" t="str">
        <f>IF(ISBLANK('Ввод исходных данных'!$D166),"-",'Ввод исходных данных'!$D166)</f>
        <v>-</v>
      </c>
      <c r="N107" s="2354"/>
      <c r="O107" s="2355"/>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2" t="s">
        <v>2239</v>
      </c>
      <c r="D108" s="2352"/>
      <c r="E108" s="2352"/>
      <c r="F108" s="2352"/>
      <c r="G108" s="2352"/>
      <c r="H108" s="2352"/>
      <c r="I108" s="2352"/>
      <c r="J108" s="2352"/>
      <c r="K108" s="2352"/>
      <c r="L108" s="1682" t="s">
        <v>1524</v>
      </c>
      <c r="M108" s="2353" t="str">
        <f>IF(ISBLANK('Ввод исходных данных'!$D167),"-",'Ввод исходных данных'!$D167)</f>
        <v>-</v>
      </c>
      <c r="N108" s="2354"/>
      <c r="O108" s="2355"/>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2" t="s">
        <v>2240</v>
      </c>
      <c r="D109" s="2352"/>
      <c r="E109" s="2352"/>
      <c r="F109" s="2352"/>
      <c r="G109" s="2352"/>
      <c r="H109" s="2352"/>
      <c r="I109" s="2352"/>
      <c r="J109" s="2352"/>
      <c r="K109" s="2352"/>
      <c r="L109" s="1682" t="s">
        <v>2036</v>
      </c>
      <c r="M109" s="2353" t="str">
        <f>IF(OR(M106="-",ISBLANK('Ввод исходных данных'!$D$168)),"-",'Ввод исходных данных'!$D$168)</f>
        <v>-</v>
      </c>
      <c r="N109" s="2354"/>
      <c r="O109" s="2355"/>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16" t="s">
        <v>2241</v>
      </c>
      <c r="D110" s="2316"/>
      <c r="E110" s="2352" t="s">
        <v>1291</v>
      </c>
      <c r="F110" s="2352"/>
      <c r="G110" s="2352"/>
      <c r="H110" s="2352"/>
      <c r="I110" s="2352"/>
      <c r="J110" s="2352"/>
      <c r="K110" s="2352"/>
      <c r="L110" s="1682" t="s">
        <v>1768</v>
      </c>
      <c r="M110" s="2353" t="str">
        <f>IF(ISBLANK('Ввод исходных данных'!$D169),"-",'Ввод исходных данных'!$D169)</f>
        <v>-</v>
      </c>
      <c r="N110" s="2354"/>
      <c r="O110" s="2355"/>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16"/>
      <c r="D111" s="2316"/>
      <c r="E111" s="2318" t="s">
        <v>2238</v>
      </c>
      <c r="F111" s="2318"/>
      <c r="G111" s="2318"/>
      <c r="H111" s="2318"/>
      <c r="I111" s="2318"/>
      <c r="J111" s="2318"/>
      <c r="K111" s="2318"/>
      <c r="L111" s="1682" t="s">
        <v>1768</v>
      </c>
      <c r="M111" s="2353" t="str">
        <f>IF(ISBLANK('Ввод исходных данных'!$D170),"-",'Ввод исходных данных'!$D170)</f>
        <v>-</v>
      </c>
      <c r="N111" s="2354"/>
      <c r="O111" s="2355"/>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2" t="s">
        <v>2242</v>
      </c>
      <c r="D112" s="2352"/>
      <c r="E112" s="2352"/>
      <c r="F112" s="2352"/>
      <c r="G112" s="2352"/>
      <c r="H112" s="2352"/>
      <c r="I112" s="2352"/>
      <c r="J112" s="2352"/>
      <c r="K112" s="2352"/>
      <c r="L112" s="1682" t="s">
        <v>1524</v>
      </c>
      <c r="M112" s="2353" t="str">
        <f>IF(ISBLANK('Ввод исходных данных'!$D171),"-",'Ввод исходных данных'!$D171)</f>
        <v>-</v>
      </c>
      <c r="N112" s="2354"/>
      <c r="O112" s="2355"/>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2" t="s">
        <v>2243</v>
      </c>
      <c r="D113" s="2352"/>
      <c r="E113" s="2352"/>
      <c r="F113" s="2352"/>
      <c r="G113" s="2352"/>
      <c r="H113" s="2352"/>
      <c r="I113" s="2352"/>
      <c r="J113" s="2352"/>
      <c r="K113" s="2352"/>
      <c r="L113" s="1682" t="s">
        <v>2036</v>
      </c>
      <c r="M113" s="2353" t="str">
        <f>IF(OR(M110="-",'Ввод исходных данных'!$D$172),"-",'Ввод исходных данных'!$D$172)</f>
        <v>-</v>
      </c>
      <c r="N113" s="2354"/>
      <c r="O113" s="2355"/>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16" t="s">
        <v>2244</v>
      </c>
      <c r="D114" s="2316"/>
      <c r="E114" s="2352" t="s">
        <v>1291</v>
      </c>
      <c r="F114" s="2352"/>
      <c r="G114" s="2352"/>
      <c r="H114" s="2352"/>
      <c r="I114" s="2352"/>
      <c r="J114" s="2352"/>
      <c r="K114" s="2352"/>
      <c r="L114" s="1682" t="s">
        <v>1768</v>
      </c>
      <c r="M114" s="2353" t="str">
        <f>IF(ISBLANK('Ввод исходных данных'!$D173),"-",'Ввод исходных данных'!$D173)</f>
        <v>-</v>
      </c>
      <c r="N114" s="2354"/>
      <c r="O114" s="2355"/>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16"/>
      <c r="D115" s="2316"/>
      <c r="E115" s="2318" t="s">
        <v>2238</v>
      </c>
      <c r="F115" s="2318"/>
      <c r="G115" s="2318"/>
      <c r="H115" s="2318"/>
      <c r="I115" s="2318"/>
      <c r="J115" s="2318"/>
      <c r="K115" s="2318"/>
      <c r="L115" s="1682" t="s">
        <v>1768</v>
      </c>
      <c r="M115" s="2353" t="str">
        <f>IF(ISBLANK('Ввод исходных данных'!$D174),"-",'Ввод исходных данных'!$D174)</f>
        <v>-</v>
      </c>
      <c r="N115" s="2354"/>
      <c r="O115" s="2355"/>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2" t="s">
        <v>2245</v>
      </c>
      <c r="D116" s="2352"/>
      <c r="E116" s="2352"/>
      <c r="F116" s="2352"/>
      <c r="G116" s="2352"/>
      <c r="H116" s="2352"/>
      <c r="I116" s="2352"/>
      <c r="J116" s="2352"/>
      <c r="K116" s="2352"/>
      <c r="L116" s="1682" t="s">
        <v>1524</v>
      </c>
      <c r="M116" s="2353" t="str">
        <f>IF(ISBLANK('Ввод исходных данных'!$D175),"-",'Ввод исходных данных'!$D175)</f>
        <v>-</v>
      </c>
      <c r="N116" s="2354"/>
      <c r="O116" s="2355"/>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2" t="s">
        <v>2246</v>
      </c>
      <c r="D117" s="2352"/>
      <c r="E117" s="2352"/>
      <c r="F117" s="2352"/>
      <c r="G117" s="2352"/>
      <c r="H117" s="2352"/>
      <c r="I117" s="2352"/>
      <c r="J117" s="2352"/>
      <c r="K117" s="2352"/>
      <c r="L117" s="1682" t="s">
        <v>2036</v>
      </c>
      <c r="M117" s="2353" t="str">
        <f>IF(OR(M114="-",ISBLANK('Ввод исходных данных'!$D176)),"-",'Ввод исходных данных'!$D176)</f>
        <v>-</v>
      </c>
      <c r="N117" s="2354"/>
      <c r="O117" s="2355"/>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2" t="s">
        <v>2247</v>
      </c>
      <c r="D118" s="2352"/>
      <c r="E118" s="2352"/>
      <c r="F118" s="2352"/>
      <c r="G118" s="2352"/>
      <c r="H118" s="2352"/>
      <c r="I118" s="2352"/>
      <c r="J118" s="2352"/>
      <c r="K118" s="2352"/>
      <c r="L118" s="1682" t="s">
        <v>1524</v>
      </c>
      <c r="M118" s="2353" t="str">
        <f>IF(ISBLANK('Ввод исходных данных'!$D179),"-",'Ввод исходных данных'!$D179)</f>
        <v>-</v>
      </c>
      <c r="N118" s="2354"/>
      <c r="O118" s="2355"/>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56" t="s">
        <v>2248</v>
      </c>
      <c r="D119" s="2357"/>
      <c r="E119" s="2357"/>
      <c r="F119" s="2357"/>
      <c r="G119" s="2357"/>
      <c r="H119" s="2357"/>
      <c r="I119" s="2357"/>
      <c r="J119" s="2357"/>
      <c r="K119" s="2358"/>
      <c r="L119" s="1682" t="s">
        <v>2036</v>
      </c>
      <c r="M119" s="2353" t="str">
        <f>IF(ISBLANK('Ввод исходных данных'!$D180),"-",'Ввод исходных данных'!$D180)</f>
        <v>-</v>
      </c>
      <c r="N119" s="2354"/>
      <c r="O119" s="2355"/>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44" t="s">
        <v>2249</v>
      </c>
      <c r="C120" s="2344"/>
      <c r="D120" s="2344"/>
      <c r="E120" s="2344"/>
      <c r="F120" s="2344"/>
      <c r="G120" s="2344"/>
      <c r="H120" s="2344"/>
      <c r="I120" s="2344"/>
      <c r="J120" s="2344"/>
      <c r="K120" s="2344"/>
      <c r="L120" s="2344"/>
      <c r="M120" s="2344"/>
      <c r="N120" s="2344"/>
      <c r="O120" s="2344"/>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05" t="s">
        <v>829</v>
      </c>
      <c r="D121" s="2305"/>
      <c r="E121" s="2305"/>
      <c r="F121" s="2305"/>
      <c r="G121" s="2305"/>
      <c r="H121" s="2305"/>
      <c r="I121" s="2305"/>
      <c r="J121" s="2305"/>
      <c r="K121" s="2305"/>
      <c r="L121" s="1667" t="s">
        <v>2165</v>
      </c>
      <c r="M121" s="2305" t="s">
        <v>862</v>
      </c>
      <c r="N121" s="2305"/>
      <c r="O121" s="2305"/>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16" t="s">
        <v>2250</v>
      </c>
      <c r="D122" s="2316"/>
      <c r="E122" s="2326" t="s">
        <v>1291</v>
      </c>
      <c r="F122" s="2326"/>
      <c r="G122" s="2326"/>
      <c r="H122" s="2326"/>
      <c r="I122" s="2326"/>
      <c r="J122" s="2326"/>
      <c r="K122" s="2326"/>
      <c r="L122" s="1682" t="s">
        <v>2353</v>
      </c>
      <c r="M122" s="2342"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42"/>
      <c r="O122" s="2342"/>
      <c r="P122" s="264"/>
      <c r="Q122" s="264"/>
      <c r="R122" s="264"/>
      <c r="S122" s="264"/>
      <c r="T122" s="264"/>
      <c r="U122" s="264"/>
      <c r="V122" s="264"/>
      <c r="W122" s="264"/>
      <c r="X122" s="264"/>
      <c r="Y122" s="264"/>
      <c r="Z122" s="264"/>
      <c r="AA122" s="264"/>
      <c r="AB122" s="264"/>
      <c r="AC122" s="264"/>
    </row>
    <row r="123" spans="1:29" x14ac:dyDescent="0.25">
      <c r="A123" s="264"/>
      <c r="B123" s="1666">
        <v>102</v>
      </c>
      <c r="C123" s="2316"/>
      <c r="D123" s="2316"/>
      <c r="E123" s="2316" t="s">
        <v>981</v>
      </c>
      <c r="F123" s="2316"/>
      <c r="G123" s="2316"/>
      <c r="H123" s="2316"/>
      <c r="I123" s="2316"/>
      <c r="J123" s="2316"/>
      <c r="K123" s="2316"/>
      <c r="L123" s="1682" t="s">
        <v>2353</v>
      </c>
      <c r="M123" s="2342" t="str">
        <f>IF(ISBLANK('Ввод исходных данных'!$D186),"-",'Ввод исходных данных'!$D186)</f>
        <v>-</v>
      </c>
      <c r="N123" s="2342"/>
      <c r="O123" s="2342"/>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16"/>
      <c r="D124" s="2316"/>
      <c r="E124" s="2316" t="s">
        <v>982</v>
      </c>
      <c r="F124" s="2316"/>
      <c r="G124" s="2316"/>
      <c r="H124" s="2316"/>
      <c r="I124" s="2316"/>
      <c r="J124" s="2316"/>
      <c r="K124" s="2316"/>
      <c r="L124" s="1682" t="s">
        <v>2353</v>
      </c>
      <c r="M124" s="2342" t="str">
        <f>IF(ISBLANK('Ввод исходных данных'!$D187),"-",'Ввод исходных данных'!$D187)</f>
        <v>-</v>
      </c>
      <c r="N124" s="2342"/>
      <c r="O124" s="2342"/>
      <c r="P124" s="264"/>
      <c r="Q124" s="264"/>
      <c r="R124" s="264"/>
      <c r="S124" s="264"/>
      <c r="T124" s="264"/>
      <c r="U124" s="264"/>
      <c r="V124" s="264"/>
      <c r="W124" s="264"/>
      <c r="X124" s="264"/>
      <c r="Y124" s="264"/>
      <c r="Z124" s="264"/>
      <c r="AA124" s="264"/>
      <c r="AB124" s="264"/>
      <c r="AC124" s="264"/>
    </row>
    <row r="125" spans="1:29" x14ac:dyDescent="0.25">
      <c r="A125" s="264"/>
      <c r="B125" s="1666">
        <v>104</v>
      </c>
      <c r="C125" s="2316"/>
      <c r="D125" s="2316"/>
      <c r="E125" s="2316" t="s">
        <v>2251</v>
      </c>
      <c r="F125" s="2316"/>
      <c r="G125" s="2316"/>
      <c r="H125" s="2316"/>
      <c r="I125" s="2316"/>
      <c r="J125" s="2316"/>
      <c r="K125" s="2316"/>
      <c r="L125" s="1682" t="s">
        <v>2353</v>
      </c>
      <c r="M125" s="2342" t="str">
        <f>IF(ISBLANK('Ввод исходных данных'!$D188),"-",'Ввод исходных данных'!$D188)</f>
        <v>-</v>
      </c>
      <c r="N125" s="2342"/>
      <c r="O125" s="2342"/>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16" t="s">
        <v>2252</v>
      </c>
      <c r="D126" s="2316"/>
      <c r="E126" s="2316" t="s">
        <v>2253</v>
      </c>
      <c r="F126" s="2316"/>
      <c r="G126" s="2316"/>
      <c r="H126" s="2316"/>
      <c r="I126" s="2316"/>
      <c r="J126" s="2316"/>
      <c r="K126" s="2316"/>
      <c r="L126" s="1682" t="s">
        <v>2212</v>
      </c>
      <c r="M126" s="2342" t="str">
        <f>IF(ISBLANK('Ввод исходных данных'!$D192),"-",'Ввод исходных данных'!$D192)</f>
        <v>-</v>
      </c>
      <c r="N126" s="2342"/>
      <c r="O126" s="2342"/>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16"/>
      <c r="D127" s="2316"/>
      <c r="E127" s="2316" t="s">
        <v>2254</v>
      </c>
      <c r="F127" s="2316"/>
      <c r="G127" s="2316"/>
      <c r="H127" s="2316"/>
      <c r="I127" s="2316"/>
      <c r="J127" s="2316"/>
      <c r="K127" s="2316"/>
      <c r="L127" s="1682" t="s">
        <v>2212</v>
      </c>
      <c r="M127" s="2342" t="str">
        <f>IF(ISBLANK('Ввод исходных данных'!$D193),"-",'Ввод исходных данных'!$D193)</f>
        <v>-</v>
      </c>
      <c r="N127" s="2342"/>
      <c r="O127" s="2342"/>
      <c r="P127" s="264"/>
      <c r="Q127" s="264"/>
      <c r="R127" s="264"/>
      <c r="S127" s="264"/>
      <c r="T127" s="264"/>
      <c r="U127" s="264"/>
      <c r="V127" s="264"/>
      <c r="W127" s="264"/>
      <c r="X127" s="264"/>
      <c r="Y127" s="264"/>
      <c r="Z127" s="264"/>
      <c r="AA127" s="264"/>
      <c r="AB127" s="264"/>
      <c r="AC127" s="264"/>
    </row>
    <row r="128" spans="1:29" x14ac:dyDescent="0.25">
      <c r="A128" s="264"/>
      <c r="B128" s="1666">
        <v>107</v>
      </c>
      <c r="C128" s="2316" t="s">
        <v>978</v>
      </c>
      <c r="D128" s="2316"/>
      <c r="E128" s="2316" t="s">
        <v>2255</v>
      </c>
      <c r="F128" s="2316"/>
      <c r="G128" s="2316"/>
      <c r="H128" s="2316"/>
      <c r="I128" s="2316"/>
      <c r="J128" s="2316"/>
      <c r="K128" s="2316"/>
      <c r="L128" s="1682" t="s">
        <v>2212</v>
      </c>
      <c r="M128" s="2342">
        <f>IF(ISBLANK('Ввод исходных данных'!$D197),"-",'Ввод исходных данных'!$D197)</f>
        <v>95</v>
      </c>
      <c r="N128" s="2342"/>
      <c r="O128" s="2342"/>
      <c r="P128" s="264"/>
      <c r="Q128" s="264"/>
      <c r="R128" s="264"/>
      <c r="S128" s="264"/>
      <c r="T128" s="264"/>
      <c r="U128" s="264"/>
      <c r="V128" s="264"/>
      <c r="W128" s="264"/>
      <c r="X128" s="264"/>
      <c r="Y128" s="264"/>
      <c r="Z128" s="264"/>
      <c r="AA128" s="264"/>
      <c r="AB128" s="264"/>
      <c r="AC128" s="264"/>
    </row>
    <row r="129" spans="1:29" x14ac:dyDescent="0.25">
      <c r="A129" s="264"/>
      <c r="B129" s="1666">
        <v>108</v>
      </c>
      <c r="C129" s="2316"/>
      <c r="D129" s="2316"/>
      <c r="E129" s="2316" t="s">
        <v>2256</v>
      </c>
      <c r="F129" s="2316"/>
      <c r="G129" s="2316"/>
      <c r="H129" s="2316"/>
      <c r="I129" s="2316"/>
      <c r="J129" s="2316"/>
      <c r="K129" s="2316"/>
      <c r="L129" s="1682" t="s">
        <v>2212</v>
      </c>
      <c r="M129" s="2342">
        <f>IF(ISBLANK('Ввод исходных данных'!$D198),"-",'Ввод исходных данных'!$D198)</f>
        <v>70</v>
      </c>
      <c r="N129" s="2342"/>
      <c r="O129" s="2342"/>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16" t="s">
        <v>2257</v>
      </c>
      <c r="D130" s="2316"/>
      <c r="E130" s="2316"/>
      <c r="F130" s="2316"/>
      <c r="G130" s="2316"/>
      <c r="H130" s="2316"/>
      <c r="I130" s="2316"/>
      <c r="J130" s="2316"/>
      <c r="K130" s="2316"/>
      <c r="L130" s="1682" t="s">
        <v>746</v>
      </c>
      <c r="M130" s="2342" t="str">
        <f>IFERROR(CHOOSE('Система ГВС'!$F$3,"централизованная","децентрализованная"),"-")</f>
        <v>централизованная</v>
      </c>
      <c r="N130" s="2342"/>
      <c r="O130" s="2342"/>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16" t="s">
        <v>2258</v>
      </c>
      <c r="D131" s="2316"/>
      <c r="E131" s="2316"/>
      <c r="F131" s="2316"/>
      <c r="G131" s="2316"/>
      <c r="H131" s="2316"/>
      <c r="I131" s="2316"/>
      <c r="J131" s="2316"/>
      <c r="K131" s="2316"/>
      <c r="L131" s="1682" t="s">
        <v>746</v>
      </c>
      <c r="M131" s="2343"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43"/>
      <c r="O131" s="2343"/>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59" t="s">
        <v>2259</v>
      </c>
      <c r="D132" s="2359"/>
      <c r="E132" s="2359"/>
      <c r="F132" s="2359"/>
      <c r="G132" s="2359"/>
      <c r="H132" s="2359"/>
      <c r="I132" s="2359"/>
      <c r="J132" s="2359"/>
      <c r="K132" s="2359"/>
      <c r="L132" s="1682" t="s">
        <v>746</v>
      </c>
      <c r="M132" s="2343" t="str">
        <f>IFERROR(CHOOSE('Система отопления'!$B$30,
                                                   "совместный учет",
                                                   "раздельный учет","-"),"-")</f>
        <v>раздельный учет</v>
      </c>
      <c r="N132" s="2343"/>
      <c r="O132" s="2343"/>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59" t="s">
        <v>2260</v>
      </c>
      <c r="D133" s="2359"/>
      <c r="E133" s="2359"/>
      <c r="F133" s="2359"/>
      <c r="G133" s="2359"/>
      <c r="H133" s="2359"/>
      <c r="I133" s="2359"/>
      <c r="J133" s="2359"/>
      <c r="K133" s="2359"/>
      <c r="L133" s="1682" t="s">
        <v>746</v>
      </c>
      <c r="M133" s="2342" t="str">
        <f>IF(OR(ISBLANK('Ввод исходных данных'!$D202),ISBLANK('Ввод исходных данных'!$E202)),"-",'Ввод исходных данных'!$D202&amp;" "&amp;'Ввод исходных данных'!$E202&amp;" г.")</f>
        <v>август 2018 г.</v>
      </c>
      <c r="N133" s="2342"/>
      <c r="O133" s="2342"/>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59" t="s">
        <v>2465</v>
      </c>
      <c r="D134" s="2359"/>
      <c r="E134" s="2359"/>
      <c r="F134" s="2359"/>
      <c r="G134" s="2359"/>
      <c r="H134" s="2359"/>
      <c r="I134" s="2359"/>
      <c r="J134" s="2359"/>
      <c r="K134" s="2359"/>
      <c r="L134" s="1682" t="s">
        <v>746</v>
      </c>
      <c r="M134" s="2360" t="str">
        <f>IF(ISBLANK('Ввод исходных данных'!$E206),"-",'Ввод исходных данных'!$E206)</f>
        <v>-</v>
      </c>
      <c r="N134" s="2360"/>
      <c r="O134" s="2360"/>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59" t="s">
        <v>2261</v>
      </c>
      <c r="D135" s="2359"/>
      <c r="E135" s="2359"/>
      <c r="F135" s="2359"/>
      <c r="G135" s="2359"/>
      <c r="H135" s="2359"/>
      <c r="I135" s="2359"/>
      <c r="J135" s="2359"/>
      <c r="K135" s="2359"/>
      <c r="L135" s="1682" t="s">
        <v>746</v>
      </c>
      <c r="M135" s="2361">
        <f>IF(ISBLANK('Ввод исходных данных'!$D207),"-",'Ввод исходных данных'!$D207)</f>
        <v>42999</v>
      </c>
      <c r="N135" s="2361"/>
      <c r="O135" s="2361"/>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59" t="s">
        <v>2262</v>
      </c>
      <c r="D136" s="2359"/>
      <c r="E136" s="2359"/>
      <c r="F136" s="2359"/>
      <c r="G136" s="2359"/>
      <c r="H136" s="2359"/>
      <c r="I136" s="2359"/>
      <c r="J136" s="2359"/>
      <c r="K136" s="2359"/>
      <c r="L136" s="1682" t="s">
        <v>746</v>
      </c>
      <c r="M136" s="2361">
        <f>IF(ISBLANK('Ввод исходных данных'!$E207),"-",'Ввод исходных данных'!$E207)</f>
        <v>43235</v>
      </c>
      <c r="N136" s="2361"/>
      <c r="O136" s="2361"/>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59" t="s">
        <v>2263</v>
      </c>
      <c r="D137" s="2359"/>
      <c r="E137" s="2359"/>
      <c r="F137" s="2359"/>
      <c r="G137" s="2359"/>
      <c r="H137" s="2359"/>
      <c r="I137" s="2359"/>
      <c r="J137" s="2359"/>
      <c r="K137" s="2359"/>
      <c r="L137" s="1682" t="s">
        <v>2354</v>
      </c>
      <c r="M137" s="2362">
        <f>IF(ISBLANK('Ввод исходных данных'!$D302),"-",'Ввод исходных данных'!$D302)</f>
        <v>1423.28</v>
      </c>
      <c r="N137" s="2362"/>
      <c r="O137" s="2362"/>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59" t="s">
        <v>2264</v>
      </c>
      <c r="D138" s="2359"/>
      <c r="E138" s="2359"/>
      <c r="F138" s="2359"/>
      <c r="G138" s="2359"/>
      <c r="H138" s="2359"/>
      <c r="I138" s="2359"/>
      <c r="J138" s="2359"/>
      <c r="K138" s="2359"/>
      <c r="L138" s="1689" t="s">
        <v>2355</v>
      </c>
      <c r="M138" s="2362">
        <f>IF(ISBLANK('Ввод исходных данных'!$E302),"-",'Ввод исходных данных'!$E302)</f>
        <v>3.4</v>
      </c>
      <c r="N138" s="2362"/>
      <c r="O138" s="2362"/>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32" t="s">
        <v>2265</v>
      </c>
      <c r="C139" s="2332"/>
      <c r="D139" s="2332"/>
      <c r="E139" s="2332"/>
      <c r="F139" s="2332"/>
      <c r="G139" s="2332"/>
      <c r="H139" s="2332"/>
      <c r="I139" s="2332"/>
      <c r="J139" s="2332"/>
      <c r="K139" s="2332"/>
      <c r="L139" s="2332"/>
      <c r="M139" s="2332"/>
      <c r="N139" s="2332"/>
      <c r="O139" s="2332"/>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63" t="s">
        <v>2266</v>
      </c>
      <c r="C140" s="2363"/>
      <c r="D140" s="2351" t="s">
        <v>2267</v>
      </c>
      <c r="E140" s="2351" t="s">
        <v>2268</v>
      </c>
      <c r="F140" s="2351"/>
      <c r="G140" s="2351"/>
      <c r="H140" s="2351" t="s">
        <v>2269</v>
      </c>
      <c r="I140" s="2351"/>
      <c r="J140" s="2351"/>
      <c r="K140" s="2351" t="s">
        <v>2270</v>
      </c>
      <c r="L140" s="2351"/>
      <c r="M140" s="2351"/>
      <c r="N140" s="2351"/>
      <c r="O140" s="2351"/>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63" t="s">
        <v>1769</v>
      </c>
      <c r="C141" s="2351" t="s">
        <v>979</v>
      </c>
      <c r="D141" s="2351"/>
      <c r="E141" s="1671" t="s">
        <v>1291</v>
      </c>
      <c r="F141" s="1672" t="s">
        <v>2271</v>
      </c>
      <c r="G141" s="1673" t="s">
        <v>2272</v>
      </c>
      <c r="H141" s="1677" t="s">
        <v>1291</v>
      </c>
      <c r="I141" s="1672" t="s">
        <v>2346</v>
      </c>
      <c r="J141" s="1673" t="s">
        <v>2273</v>
      </c>
      <c r="K141" s="1677" t="s">
        <v>1291</v>
      </c>
      <c r="L141" s="1672" t="s">
        <v>986</v>
      </c>
      <c r="M141" s="1672" t="s">
        <v>2347</v>
      </c>
      <c r="N141" s="1672" t="s">
        <v>2348</v>
      </c>
      <c r="O141" s="1673" t="s">
        <v>2349</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63"/>
      <c r="C142" s="2351"/>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2018</v>
      </c>
      <c r="C143" s="1662" t="s">
        <v>488</v>
      </c>
      <c r="D143" s="1761">
        <f>IF(ISBLANK('Ввод исходных данных'!$E273),"-",'Ввод исходных данных'!$E273)</f>
        <v>-11.2</v>
      </c>
      <c r="E143" s="1762">
        <f>IF(ISBLANK('Ввод исходных данных'!$D217),"-",'Ввод исходных данных'!$D217)</f>
        <v>269.45</v>
      </c>
      <c r="F143" s="1763">
        <f>IF(ISBLANK('Ввод исходных данных'!$E217),"-",'Ввод исходных данных'!$E217)</f>
        <v>207.96</v>
      </c>
      <c r="G143" s="1764">
        <f>IF(ISBLANK('Ввод исходных данных'!$F217),"-",'Ввод исходных данных'!$F217)</f>
        <v>61.49</v>
      </c>
      <c r="H143" s="1762">
        <f>IF(ISBLANK('Ввод исходных данных'!$D236),"-",'Ввод исходных данных'!$D236)</f>
        <v>4110</v>
      </c>
      <c r="I143" s="1763">
        <f>IF(ISBLANK('Ввод исходных данных'!$E236),"-",'Ввод исходных данных'!$E236)</f>
        <v>3802.48</v>
      </c>
      <c r="J143" s="1764">
        <f>IF(ISBLANK('Ввод исходных данных'!$F236),"-",'Ввод исходных данных'!$F236)</f>
        <v>307.52</v>
      </c>
      <c r="K143" s="1762">
        <f>IF(ISBLANK('Ввод исходных данных'!$F253),"-",'Ввод исходных данных'!$F253)</f>
        <v>2.1120000000000001</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2018</v>
      </c>
      <c r="C144" s="1662" t="s">
        <v>489</v>
      </c>
      <c r="D144" s="1761">
        <f>IF(ISBLANK('Ввод исходных данных'!$E274),"-",'Ввод исходных данных'!$E274)</f>
        <v>-11.9</v>
      </c>
      <c r="E144" s="1762">
        <f>IF(ISBLANK('Ввод исходных данных'!$D218),"-",'Ввод исходных данных'!$D218)</f>
        <v>244.78</v>
      </c>
      <c r="F144" s="1763">
        <f>IF(ISBLANK('Ввод исходных данных'!$E218),"-",'Ввод исходных данных'!$E218)</f>
        <v>189.35</v>
      </c>
      <c r="G144" s="1764">
        <f>IF(ISBLANK('Ввод исходных данных'!$F218),"-",'Ввод исходных данных'!$F218)</f>
        <v>55.43</v>
      </c>
      <c r="H144" s="1762">
        <f>IF(ISBLANK('Ввод исходных данных'!$D237),"-",'Ввод исходных данных'!$D237)</f>
        <v>3716.64</v>
      </c>
      <c r="I144" s="1763">
        <f>IF(ISBLANK('Ввод исходных данных'!$E237),"-",'Ввод исходных данных'!$E237)</f>
        <v>3454.7</v>
      </c>
      <c r="J144" s="1764">
        <f>IF(ISBLANK('Ввод исходных данных'!$F237),"-",'Ввод исходных данных'!$F237)</f>
        <v>261.94</v>
      </c>
      <c r="K144" s="1762">
        <f>IF(ISBLANK('Ввод исходных данных'!$F254),"-",'Ввод исходных данных'!$F254)</f>
        <v>2.0019999999999998</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2018</v>
      </c>
      <c r="C145" s="1662" t="s">
        <v>490</v>
      </c>
      <c r="D145" s="1761">
        <f>IF(ISBLANK('Ввод исходных данных'!$E275),"-",'Ввод исходных данных'!$E275)</f>
        <v>-8.9</v>
      </c>
      <c r="E145" s="1762">
        <f>IF(ISBLANK('Ввод исходных данных'!$D219),"-",'Ввод исходных данных'!$D219)</f>
        <v>263.95</v>
      </c>
      <c r="F145" s="1763">
        <f>IF(ISBLANK('Ввод исходных данных'!$E219),"-",'Ввод исходных данных'!$E219)</f>
        <v>193.71</v>
      </c>
      <c r="G145" s="1764">
        <f>IF(ISBLANK('Ввод исходных данных'!$F219),"-",'Ввод исходных данных'!$F219)</f>
        <v>70.239999999999995</v>
      </c>
      <c r="H145" s="1762">
        <f>IF(ISBLANK('Ввод исходных данных'!$D238),"-",'Ввод исходных данных'!$D238)</f>
        <v>4168.4799999999996</v>
      </c>
      <c r="I145" s="1763">
        <f>IF(ISBLANK('Ввод исходных данных'!$E238),"-",'Ввод исходных данных'!$E238)</f>
        <v>3806.46</v>
      </c>
      <c r="J145" s="1764">
        <f>IF(ISBLANK('Ввод исходных данных'!$F238),"-",'Ввод исходных данных'!$F238)</f>
        <v>362.03</v>
      </c>
      <c r="K145" s="1762">
        <f>IF(ISBLANK('Ввод исходных данных'!$F255),"-",'Ввод исходных данных'!$F255)</f>
        <v>1.667</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2018</v>
      </c>
      <c r="C146" s="1662" t="s">
        <v>491</v>
      </c>
      <c r="D146" s="1761">
        <f>IF(ISBLANK('Ввод исходных данных'!$E276),"-",'Ввод исходных данных'!$E276)</f>
        <v>2.6</v>
      </c>
      <c r="E146" s="1762">
        <f>IF(ISBLANK('Ввод исходных данных'!$D220),"-",'Ввод исходных данных'!$D220)</f>
        <v>193.63</v>
      </c>
      <c r="F146" s="1763">
        <f>IF(ISBLANK('Ввод исходных данных'!$E220),"-",'Ввод исходных данных'!$E220)</f>
        <v>130.61000000000001</v>
      </c>
      <c r="G146" s="1764">
        <f>IF(ISBLANK('Ввод исходных данных'!$F220),"-",'Ввод исходных данных'!$F220)</f>
        <v>63.02</v>
      </c>
      <c r="H146" s="1762">
        <f>IF(ISBLANK('Ввод исходных данных'!$D239),"-",'Ввод исходных данных'!$D239)</f>
        <v>4048.72</v>
      </c>
      <c r="I146" s="1763">
        <f>IF(ISBLANK('Ввод исходных данных'!$E239),"-",'Ввод исходных данных'!$E239)</f>
        <v>3703.07</v>
      </c>
      <c r="J146" s="1764">
        <f>IF(ISBLANK('Ввод исходных данных'!$F239),"-",'Ввод исходных данных'!$F239)</f>
        <v>345.65</v>
      </c>
      <c r="K146" s="1762">
        <f>IF(ISBLANK('Ввод исходных данных'!$F256),"-",'Ввод исходных данных'!$F256)</f>
        <v>1.4319999999999999</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f>IF(ISBLANK('Ввод исходных данных'!$E277),"-",'Ввод исходных данных'!$E277)</f>
        <v>7.6</v>
      </c>
      <c r="E147" s="1762">
        <f>IF(ISBLANK('Ввод исходных данных'!$D221),"-",'Ввод исходных данных'!$D221)</f>
        <v>106.53</v>
      </c>
      <c r="F147" s="1763">
        <f>IF(ISBLANK('Ввод исходных данных'!$E221),"-",'Ввод исходных данных'!$E221)</f>
        <v>43.83</v>
      </c>
      <c r="G147" s="1764">
        <f>IF(ISBLANK('Ввод исходных данных'!$F221),"-",'Ввод исходных данных'!$F221)</f>
        <v>62.7</v>
      </c>
      <c r="H147" s="1762">
        <f>IF(ISBLANK('Ввод исходных данных'!$D240),"-",'Ввод исходных данных'!$D240)</f>
        <v>4122.01</v>
      </c>
      <c r="I147" s="1763">
        <f>IF(ISBLANK('Ввод исходных данных'!$E240),"-",'Ввод исходных данных'!$E240)</f>
        <v>3849.13</v>
      </c>
      <c r="J147" s="1764">
        <f>IF(ISBLANK('Ввод исходных данных'!$F240),"-",'Ввод исходных данных'!$F240)</f>
        <v>272.89</v>
      </c>
      <c r="K147" s="1762">
        <f>IF(ISBLANK('Ввод исходных данных'!$F257),"-",'Ввод исходных данных'!$F257)</f>
        <v>1.274</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t="str">
        <f>IF(ISBLANK('Ввод исходных данных'!$E278),"-",'Ввод исходных данных'!$E278)</f>
        <v>-</v>
      </c>
      <c r="E148" s="1762">
        <f>IF(ISBLANK('Ввод исходных данных'!$D222),"-",'Ввод исходных данных'!$D222)</f>
        <v>38.299999999999997</v>
      </c>
      <c r="F148" s="1763">
        <f>IF(ISBLANK('Ввод исходных данных'!$E222),"-",'Ввод исходных данных'!$E222)</f>
        <v>0</v>
      </c>
      <c r="G148" s="1764">
        <f>IF(ISBLANK('Ввод исходных данных'!$F222),"-",'Ввод исходных данных'!$F222)</f>
        <v>38.299999999999997</v>
      </c>
      <c r="H148" s="1762">
        <f>IF(ISBLANK('Ввод исходных данных'!$D241),"-",'Ввод исходных данных'!$D241)</f>
        <v>2447.08</v>
      </c>
      <c r="I148" s="1763">
        <f>IF(ISBLANK('Ввод исходных данных'!$E241),"-",'Ввод исходных данных'!$E241)</f>
        <v>2280.52</v>
      </c>
      <c r="J148" s="1764">
        <f>IF(ISBLANK('Ввод исходных данных'!$F241),"-",'Ввод исходных данных'!$F241)</f>
        <v>166.56</v>
      </c>
      <c r="K148" s="1762">
        <f>IF(ISBLANK('Ввод исходных данных'!$F258),"-",'Ввод исходных данных'!$F258)</f>
        <v>1.2649999999999999</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t="str">
        <f>IF(ISBLANK('Ввод исходных данных'!$E279),"-",'Ввод исходных данных'!$E279)</f>
        <v>-</v>
      </c>
      <c r="E149" s="1762">
        <f>IF(ISBLANK('Ввод исходных данных'!$D223),"-",'Ввод исходных данных'!$D223)</f>
        <v>28.58</v>
      </c>
      <c r="F149" s="1763">
        <f>IF(ISBLANK('Ввод исходных данных'!$E223),"-",'Ввод исходных данных'!$E223)</f>
        <v>0</v>
      </c>
      <c r="G149" s="1764">
        <f>IF(ISBLANK('Ввод исходных данных'!$F223),"-",'Ввод исходных данных'!$F223)</f>
        <v>28.58</v>
      </c>
      <c r="H149" s="1762">
        <f>IF(ISBLANK('Ввод исходных данных'!$D242),"-",'Ввод исходных данных'!$D242)</f>
        <v>2325.64</v>
      </c>
      <c r="I149" s="1763">
        <f>IF(ISBLANK('Ввод исходных данных'!$E242),"-",'Ввод исходных данных'!$E242)</f>
        <v>2205.25</v>
      </c>
      <c r="J149" s="1764">
        <f>IF(ISBLANK('Ввод исходных данных'!$F242),"-",'Ввод исходных данных'!$F242)</f>
        <v>120.38</v>
      </c>
      <c r="K149" s="1762">
        <f>IF(ISBLANK('Ввод исходных данных'!$F259),"-",'Ввод исходных данных'!$F259)</f>
        <v>1.143</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t="str">
        <f>IF(ISBLANK('Ввод исходных данных'!$E280),"-",'Ввод исходных данных'!$E280)</f>
        <v>-</v>
      </c>
      <c r="E150" s="1762">
        <f>IF(ISBLANK('Ввод исходных данных'!$D224),"-",'Ввод исходных данных'!$D224)</f>
        <v>26.85</v>
      </c>
      <c r="F150" s="1763">
        <f>IF(ISBLANK('Ввод исходных данных'!$E224),"-",'Ввод исходных данных'!$E224)</f>
        <v>0</v>
      </c>
      <c r="G150" s="1764">
        <f>IF(ISBLANK('Ввод исходных данных'!$F224),"-",'Ввод исходных данных'!$F224)</f>
        <v>26.85</v>
      </c>
      <c r="H150" s="1762">
        <f>IF(ISBLANK('Ввод исходных данных'!$D243),"-",'Ввод исходных данных'!$D243)</f>
        <v>1879.65</v>
      </c>
      <c r="I150" s="1763">
        <f>IF(ISBLANK('Ввод исходных данных'!$E243),"-",'Ввод исходных данных'!$E243)</f>
        <v>1752.84</v>
      </c>
      <c r="J150" s="1764">
        <f>IF(ISBLANK('Ввод исходных данных'!$F243),"-",'Ввод исходных данных'!$F243)</f>
        <v>126.81</v>
      </c>
      <c r="K150" s="1762">
        <f>IF(ISBLANK('Ввод исходных данных'!$F260),"-",'Ввод исходных данных'!$F260)</f>
        <v>1.131</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2017</v>
      </c>
      <c r="C151" s="1662" t="s">
        <v>804</v>
      </c>
      <c r="D151" s="1761">
        <f>IF(ISBLANK('Ввод исходных данных'!$E281),"-",'Ввод исходных данных'!$E281)</f>
        <v>5.3</v>
      </c>
      <c r="E151" s="1762">
        <f>IF(ISBLANK('Ввод исходных данных'!$D225),"-",'Ввод исходных данных'!$D225)</f>
        <v>104.13</v>
      </c>
      <c r="F151" s="1763">
        <f>IF(ISBLANK('Ввод исходных данных'!$E225),"-",'Ввод исходных данных'!$E225)</f>
        <v>43.38</v>
      </c>
      <c r="G151" s="1764">
        <f>IF(ISBLANK('Ввод исходных данных'!$F225),"-",'Ввод исходных данных'!$F225)</f>
        <v>60.75</v>
      </c>
      <c r="H151" s="1762">
        <f>IF(ISBLANK('Ввод исходных данных'!$D244),"-",'Ввод исходных данных'!$D244)</f>
        <v>3941.99</v>
      </c>
      <c r="I151" s="1763">
        <f>IF(ISBLANK('Ввод исходных данных'!$E244),"-",'Ввод исходных данных'!$E244)</f>
        <v>3642.87</v>
      </c>
      <c r="J151" s="1764">
        <f>IF(ISBLANK('Ввод исходных данных'!$F244),"-",'Ввод исходных данных'!$F244)</f>
        <v>299.12</v>
      </c>
      <c r="K151" s="1762">
        <f>IF(ISBLANK('Ввод исходных данных'!$F261),"-",'Ввод исходных данных'!$F261)</f>
        <v>1.117</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2" t="s">
        <v>482</v>
      </c>
      <c r="D152" s="1761">
        <f>IF(ISBLANK('Ввод исходных данных'!$E282),"-",'Ввод исходных данных'!$E282)</f>
        <v>2.9</v>
      </c>
      <c r="E152" s="1762">
        <f>IF(ISBLANK('Ввод исходных данных'!$D226),"-",'Ввод исходных данных'!$D226)</f>
        <v>194.75</v>
      </c>
      <c r="F152" s="1763">
        <f>IF(ISBLANK('Ввод исходных данных'!$E226),"-",'Ввод исходных данных'!$E226)</f>
        <v>135.05000000000001</v>
      </c>
      <c r="G152" s="1764">
        <f>IF(ISBLANK('Ввод исходных данных'!$F226),"-",'Ввод исходных данных'!$F226)</f>
        <v>59.7</v>
      </c>
      <c r="H152" s="1762">
        <f>IF(ISBLANK('Ввод исходных данных'!$D245),"-",'Ввод исходных данных'!$D245)</f>
        <v>4045.41</v>
      </c>
      <c r="I152" s="1763">
        <f>IF(ISBLANK('Ввод исходных данных'!$E245),"-",'Ввод исходных данных'!$E245)</f>
        <v>3739.14</v>
      </c>
      <c r="J152" s="1764">
        <f>IF(ISBLANK('Ввод исходных данных'!$F245),"-",'Ввод исходных данных'!$F245)</f>
        <v>306.26</v>
      </c>
      <c r="K152" s="1762">
        <f>IF(ISBLANK('Ввод исходных данных'!$F262),"-",'Ввод исходных данных'!$F262)</f>
        <v>1.121</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2" t="s">
        <v>486</v>
      </c>
      <c r="D153" s="1761">
        <f>IF(ISBLANK('Ввод исходных данных'!$E283),"-",'Ввод исходных данных'!$E283)</f>
        <v>-1.3</v>
      </c>
      <c r="E153" s="1762">
        <f>IF(ISBLANK('Ввод исходных данных'!$D227),"-",'Ввод исходных данных'!$D227)</f>
        <v>206.11</v>
      </c>
      <c r="F153" s="1763">
        <f>IF(ISBLANK('Ввод исходных данных'!$E227),"-",'Ввод исходных данных'!$E227)</f>
        <v>148.44999999999999</v>
      </c>
      <c r="G153" s="1764">
        <f>IF(ISBLANK('Ввод исходных данных'!$F227),"-",'Ввод исходных данных'!$F227)</f>
        <v>57.66</v>
      </c>
      <c r="H153" s="1762">
        <f>IF(ISBLANK('Ввод исходных данных'!$D246),"-",'Ввод исходных данных'!$D246)</f>
        <v>3970.67</v>
      </c>
      <c r="I153" s="1763">
        <f>IF(ISBLANK('Ввод исходных данных'!$E246),"-",'Ввод исходных данных'!$E246)</f>
        <v>3688.69</v>
      </c>
      <c r="J153" s="1764">
        <f>IF(ISBLANK('Ввод исходных данных'!$F246),"-",'Ввод исходных данных'!$F246)</f>
        <v>281.98</v>
      </c>
      <c r="K153" s="1762">
        <f>IF(ISBLANK('Ввод исходных данных'!$F263),"-",'Ввод исходных данных'!$F263)</f>
        <v>1.282</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2" t="s">
        <v>487</v>
      </c>
      <c r="D154" s="1761">
        <f>IF(ISBLANK('Ввод исходных данных'!$E284),"-",'Ввод исходных данных'!$E284)</f>
        <v>7.4</v>
      </c>
      <c r="E154" s="1762">
        <f>IF(ISBLANK('Ввод исходных данных'!$D228),"-",'Ввод исходных данных'!$D228)</f>
        <v>243.15</v>
      </c>
      <c r="F154" s="1763">
        <f>IF(ISBLANK('Ввод исходных данных'!$E228),"-",'Ввод исходных данных'!$E228)</f>
        <v>183.32</v>
      </c>
      <c r="G154" s="1764">
        <f>IF(ISBLANK('Ввод исходных данных'!$F228),"-",'Ввод исходных данных'!$F228)</f>
        <v>59.83</v>
      </c>
      <c r="H154" s="1762">
        <f>IF(ISBLANK('Ввод исходных данных'!$D247),"-",'Ввод исходных данных'!$D247)</f>
        <v>4106.83</v>
      </c>
      <c r="I154" s="1763">
        <f>IF(ISBLANK('Ввод исходных данных'!$E247),"-",'Ввод исходных данных'!$E247)</f>
        <v>3801.62</v>
      </c>
      <c r="J154" s="1764">
        <f>IF(ISBLANK('Ввод исходных данных'!$F247),"-",'Ввод исходных данных'!$F247)</f>
        <v>305.20999999999998</v>
      </c>
      <c r="K154" s="1762">
        <f>IF(ISBLANK('Ввод исходных данных'!$F264),"-",'Ввод исходных данных'!$F264)</f>
        <v>1.27</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64" t="s">
        <v>2276</v>
      </c>
      <c r="C155" s="2365"/>
      <c r="D155" s="1768">
        <f ca="1">IF(ISBLANK('Ввод исходных данных'!$E285),"-",'Ввод исходных данных'!$E285)</f>
        <v>-1.6793248945147679</v>
      </c>
      <c r="E155" s="1765">
        <f>IF(ISBLANK('Ввод исходных данных'!$D229),"-",'Ввод исходных данных'!$D229)</f>
        <v>1920.21</v>
      </c>
      <c r="F155" s="1766">
        <f>IF(ISBLANK('Ввод исходных данных'!$E229),"-",'Ввод исходных данных'!$E229)</f>
        <v>1275.6600000000001</v>
      </c>
      <c r="G155" s="1767">
        <f>IF(ISBLANK('Ввод исходных данных'!$F229),"-",'Ввод исходных данных'!$F229)</f>
        <v>644.55000000000007</v>
      </c>
      <c r="H155" s="1765">
        <f>IF(ISBLANK('Ввод исходных данных'!$D248),"-",'Ввод исходных данных'!$D248)</f>
        <v>42883.119999999995</v>
      </c>
      <c r="I155" s="1766">
        <f>IF(ISBLANK('Ввод исходных данных'!$E248),"-",'Ввод исходных данных'!$E248)</f>
        <v>39726.770000000004</v>
      </c>
      <c r="J155" s="1767">
        <f>IF(ISBLANK('Ввод исходных данных'!$F248),"-",'Ввод исходных данных'!$F248)</f>
        <v>3156.35</v>
      </c>
      <c r="K155" s="1765">
        <f>IF(ISBLANK('Ввод исходных данных'!$F265),"-",'Ввод исходных данных'!$F265)</f>
        <v>16.816000000000003</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32" t="s">
        <v>2277</v>
      </c>
      <c r="C156" s="2332"/>
      <c r="D156" s="2332"/>
      <c r="E156" s="2332"/>
      <c r="F156" s="2332"/>
      <c r="G156" s="2332"/>
      <c r="H156" s="2332"/>
      <c r="I156" s="2332"/>
      <c r="J156" s="2332"/>
      <c r="K156" s="2332"/>
      <c r="L156" s="2332"/>
      <c r="M156" s="2332"/>
      <c r="N156" s="2332"/>
      <c r="O156" s="2332"/>
      <c r="P156" s="264"/>
      <c r="Q156" s="264"/>
      <c r="R156" s="264"/>
      <c r="S156" s="264"/>
      <c r="T156" s="264"/>
      <c r="U156" s="264"/>
      <c r="V156" s="264"/>
      <c r="W156" s="264"/>
      <c r="X156" s="264"/>
      <c r="Y156" s="264"/>
      <c r="Z156" s="264"/>
      <c r="AA156" s="264"/>
      <c r="AB156" s="264"/>
      <c r="AC156" s="264"/>
    </row>
    <row r="157" spans="1:29" x14ac:dyDescent="0.25">
      <c r="A157" s="264"/>
      <c r="B157" s="2363" t="s">
        <v>2147</v>
      </c>
      <c r="C157" s="2366" t="s">
        <v>2278</v>
      </c>
      <c r="D157" s="2367"/>
      <c r="E157" s="2368"/>
      <c r="F157" s="2372" t="s">
        <v>2279</v>
      </c>
      <c r="G157" s="2373"/>
      <c r="H157" s="2373"/>
      <c r="I157" s="2374"/>
      <c r="J157" s="2372" t="s">
        <v>2280</v>
      </c>
      <c r="K157" s="2373"/>
      <c r="L157" s="2374"/>
      <c r="M157" s="2363" t="s">
        <v>2281</v>
      </c>
      <c r="N157" s="2363"/>
      <c r="O157" s="2363"/>
      <c r="P157" s="264"/>
      <c r="Q157" s="264"/>
      <c r="R157" s="264"/>
      <c r="S157" s="264"/>
      <c r="T157" s="264"/>
      <c r="U157" s="264"/>
      <c r="V157" s="264"/>
      <c r="W157" s="264"/>
      <c r="X157" s="264"/>
      <c r="Y157" s="264"/>
      <c r="Z157" s="264"/>
      <c r="AA157" s="264"/>
      <c r="AB157" s="264"/>
      <c r="AC157" s="264"/>
    </row>
    <row r="158" spans="1:29" x14ac:dyDescent="0.25">
      <c r="A158" s="264"/>
      <c r="B158" s="2363"/>
      <c r="C158" s="2369"/>
      <c r="D158" s="2370"/>
      <c r="E158" s="2371"/>
      <c r="F158" s="2375"/>
      <c r="G158" s="2376"/>
      <c r="H158" s="2376"/>
      <c r="I158" s="2377"/>
      <c r="J158" s="2375"/>
      <c r="K158" s="2376"/>
      <c r="L158" s="2377"/>
      <c r="M158" s="2378" t="s">
        <v>1770</v>
      </c>
      <c r="N158" s="2379"/>
      <c r="O158" s="2379"/>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80" t="str">
        <f>IFERROR(VLOOKUP($B159,'Список мероприятий'!$AX$8:$BB$30,2,FALSE),"")</f>
        <v>Установка узлов управления и регулирования потребления ТЭ</v>
      </c>
      <c r="D159" s="2381"/>
      <c r="E159" s="2382"/>
      <c r="F159" s="2383"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84"/>
      <c r="H159" s="2384"/>
      <c r="I159" s="2385"/>
      <c r="J159" s="2383" t="str">
        <f>IFERROR(VLOOKUP($B159,'Список мероприятий'!$AX$8:$BB$30,4,FALSE),"")</f>
        <v>-</v>
      </c>
      <c r="K159" s="2384"/>
      <c r="L159" s="2385"/>
      <c r="M159" s="2386">
        <f>IFERROR(VLOOKUP($B159,'Список мероприятий'!$AX$8:$BB$30,5,FALSE),"")</f>
        <v>282216</v>
      </c>
      <c r="N159" s="2387"/>
      <c r="O159" s="2388"/>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80" t="str">
        <f>IFERROR(VLOOKUP($B160,'Список мероприятий'!$AX$8:$BB$30,2,FALSE),"")</f>
        <v/>
      </c>
      <c r="D160" s="2381"/>
      <c r="E160" s="2382"/>
      <c r="F160" s="2383" t="str">
        <f>IFERROR(VLOOKUP($B160,'Список мероприятий'!$AX$8:$BB$30,3,FALSE),"")</f>
        <v/>
      </c>
      <c r="G160" s="2384"/>
      <c r="H160" s="2384"/>
      <c r="I160" s="2385"/>
      <c r="J160" s="2383" t="str">
        <f>IFERROR(VLOOKUP($B160,'Список мероприятий'!$AX$8:$BB$30,4,FALSE),"")</f>
        <v/>
      </c>
      <c r="K160" s="2384"/>
      <c r="L160" s="2385"/>
      <c r="M160" s="2386" t="str">
        <f>IFERROR(VLOOKUP($B160,'Список мероприятий'!$AX$8:$BB$30,5,FALSE),"")</f>
        <v/>
      </c>
      <c r="N160" s="2387"/>
      <c r="O160" s="2388"/>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80" t="str">
        <f>IFERROR(VLOOKUP($B161,'Список мероприятий'!$AX$8:$BB$30,2,FALSE),"")</f>
        <v/>
      </c>
      <c r="D161" s="2381"/>
      <c r="E161" s="2382"/>
      <c r="F161" s="2383" t="str">
        <f>IFERROR(VLOOKUP($B161,'Список мероприятий'!$AX$8:$BB$30,3,FALSE),"")</f>
        <v/>
      </c>
      <c r="G161" s="2384"/>
      <c r="H161" s="2384"/>
      <c r="I161" s="2385"/>
      <c r="J161" s="2383" t="str">
        <f>IFERROR(VLOOKUP($B161,'Список мероприятий'!$AX$8:$BB$30,4,FALSE),"")</f>
        <v/>
      </c>
      <c r="K161" s="2384"/>
      <c r="L161" s="2385"/>
      <c r="M161" s="2386" t="str">
        <f>IFERROR(VLOOKUP($B161,'Список мероприятий'!$AX$8:$BB$30,5,FALSE),"")</f>
        <v/>
      </c>
      <c r="N161" s="2387"/>
      <c r="O161" s="2388"/>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80" t="str">
        <f>IFERROR(VLOOKUP($B162,'Список мероприятий'!$AX$8:$BB$30,2,FALSE),"")</f>
        <v/>
      </c>
      <c r="D162" s="2381"/>
      <c r="E162" s="2382"/>
      <c r="F162" s="2383" t="str">
        <f>IFERROR(VLOOKUP($B162,'Список мероприятий'!$AX$8:$BB$30,3,FALSE),"")</f>
        <v/>
      </c>
      <c r="G162" s="2384"/>
      <c r="H162" s="2384"/>
      <c r="I162" s="2385"/>
      <c r="J162" s="2383" t="str">
        <f>IFERROR(VLOOKUP($B162,'Список мероприятий'!$AX$8:$BB$30,4,FALSE),"")</f>
        <v/>
      </c>
      <c r="K162" s="2384"/>
      <c r="L162" s="2385"/>
      <c r="M162" s="2386" t="str">
        <f>IFERROR(VLOOKUP($B162,'Список мероприятий'!$AX$8:$BB$30,5,FALSE),"")</f>
        <v/>
      </c>
      <c r="N162" s="2387"/>
      <c r="O162" s="2388"/>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80" t="str">
        <f>IFERROR(VLOOKUP($B163,'Список мероприятий'!$AX$8:$BB$30,2,FALSE),"")</f>
        <v/>
      </c>
      <c r="D163" s="2381"/>
      <c r="E163" s="2382"/>
      <c r="F163" s="2383" t="str">
        <f>IFERROR(VLOOKUP($B163,'Список мероприятий'!$AX$8:$BB$30,3,FALSE),"")</f>
        <v/>
      </c>
      <c r="G163" s="2384"/>
      <c r="H163" s="2384"/>
      <c r="I163" s="2385"/>
      <c r="J163" s="2383" t="str">
        <f>IFERROR(VLOOKUP($B163,'Список мероприятий'!$AX$8:$BB$30,4,FALSE),"")</f>
        <v/>
      </c>
      <c r="K163" s="2384"/>
      <c r="L163" s="2385"/>
      <c r="M163" s="2386" t="str">
        <f>IFERROR(VLOOKUP($B163,'Список мероприятий'!$AX$8:$BB$30,5,FALSE),"")</f>
        <v/>
      </c>
      <c r="N163" s="2387"/>
      <c r="O163" s="2388"/>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80" t="str">
        <f>IFERROR(VLOOKUP($B164,'Список мероприятий'!$AX$8:$BB$30,2,FALSE),"")</f>
        <v/>
      </c>
      <c r="D164" s="2381"/>
      <c r="E164" s="2382"/>
      <c r="F164" s="2383" t="str">
        <f>IFERROR(VLOOKUP($B164,'Список мероприятий'!$AX$8:$BB$30,3,FALSE),"")</f>
        <v/>
      </c>
      <c r="G164" s="2384"/>
      <c r="H164" s="2384"/>
      <c r="I164" s="2385"/>
      <c r="J164" s="2383" t="str">
        <f>IFERROR(VLOOKUP($B164,'Список мероприятий'!$AX$8:$BB$30,4,FALSE),"")</f>
        <v/>
      </c>
      <c r="K164" s="2384"/>
      <c r="L164" s="2385"/>
      <c r="M164" s="2386" t="str">
        <f>IFERROR(VLOOKUP($B164,'Список мероприятий'!$AX$8:$BB$30,5,FALSE),"")</f>
        <v/>
      </c>
      <c r="N164" s="2387"/>
      <c r="O164" s="2388"/>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80" t="str">
        <f>IFERROR(VLOOKUP($B165,'Список мероприятий'!$AX$8:$BB$30,2,FALSE),"")</f>
        <v/>
      </c>
      <c r="D165" s="2381"/>
      <c r="E165" s="2382"/>
      <c r="F165" s="2383" t="str">
        <f>IFERROR(VLOOKUP($B165,'Список мероприятий'!$AX$8:$BB$30,3,FALSE),"")</f>
        <v/>
      </c>
      <c r="G165" s="2384"/>
      <c r="H165" s="2384"/>
      <c r="I165" s="2385"/>
      <c r="J165" s="2383" t="str">
        <f>IFERROR(VLOOKUP($B165,'Список мероприятий'!$AX$8:$BB$30,4,FALSE),"")</f>
        <v/>
      </c>
      <c r="K165" s="2384"/>
      <c r="L165" s="2385"/>
      <c r="M165" s="2386" t="str">
        <f>IFERROR(VLOOKUP($B165,'Список мероприятий'!$AX$8:$BB$30,5,FALSE),"")</f>
        <v/>
      </c>
      <c r="N165" s="2387"/>
      <c r="O165" s="2388"/>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80" t="str">
        <f>IFERROR(VLOOKUP($B166,'Список мероприятий'!$AX$8:$BB$30,2,FALSE),"")</f>
        <v/>
      </c>
      <c r="D166" s="2381"/>
      <c r="E166" s="2382"/>
      <c r="F166" s="2383" t="str">
        <f>IFERROR(VLOOKUP($B166,'Список мероприятий'!$AX$8:$BB$30,3,FALSE),"")</f>
        <v/>
      </c>
      <c r="G166" s="2384"/>
      <c r="H166" s="2384"/>
      <c r="I166" s="2385"/>
      <c r="J166" s="2383" t="str">
        <f>IFERROR(VLOOKUP($B166,'Список мероприятий'!$AX$8:$BB$30,4,FALSE),"")</f>
        <v/>
      </c>
      <c r="K166" s="2384"/>
      <c r="L166" s="2385"/>
      <c r="M166" s="2386" t="str">
        <f>IFERROR(VLOOKUP($B166,'Список мероприятий'!$AX$8:$BB$30,5,FALSE),"")</f>
        <v/>
      </c>
      <c r="N166" s="2387"/>
      <c r="O166" s="2388"/>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80" t="str">
        <f>IFERROR(VLOOKUP($B167,'Список мероприятий'!$AX$8:$BB$30,2,FALSE),"")</f>
        <v/>
      </c>
      <c r="D167" s="2381"/>
      <c r="E167" s="2382"/>
      <c r="F167" s="2383" t="str">
        <f>IFERROR(VLOOKUP($B167,'Список мероприятий'!$AX$8:$BB$30,3,FALSE),"")</f>
        <v/>
      </c>
      <c r="G167" s="2384"/>
      <c r="H167" s="2384"/>
      <c r="I167" s="2385"/>
      <c r="J167" s="2383" t="str">
        <f>IFERROR(VLOOKUP($B167,'Список мероприятий'!$AX$8:$BB$30,4,FALSE),"")</f>
        <v/>
      </c>
      <c r="K167" s="2384"/>
      <c r="L167" s="2385"/>
      <c r="M167" s="2386" t="str">
        <f>IFERROR(VLOOKUP($B167,'Список мероприятий'!$AX$8:$BB$30,5,FALSE),"")</f>
        <v/>
      </c>
      <c r="N167" s="2387"/>
      <c r="O167" s="2388"/>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80" t="str">
        <f>IFERROR(VLOOKUP($B168,'Список мероприятий'!$AX$8:$BB$30,2,FALSE),"")</f>
        <v/>
      </c>
      <c r="D168" s="2381"/>
      <c r="E168" s="2382"/>
      <c r="F168" s="2383" t="str">
        <f>IFERROR(VLOOKUP($B168,'Список мероприятий'!$AX$8:$BB$30,3,FALSE),"")</f>
        <v/>
      </c>
      <c r="G168" s="2384"/>
      <c r="H168" s="2384"/>
      <c r="I168" s="2385"/>
      <c r="J168" s="2383" t="str">
        <f>IFERROR(VLOOKUP($B168,'Список мероприятий'!$AX$8:$BB$30,4,FALSE),"")</f>
        <v/>
      </c>
      <c r="K168" s="2384"/>
      <c r="L168" s="2385"/>
      <c r="M168" s="2386" t="str">
        <f>IFERROR(VLOOKUP($B168,'Список мероприятий'!$AX$8:$BB$30,5,FALSE),"")</f>
        <v/>
      </c>
      <c r="N168" s="2387"/>
      <c r="O168" s="2388"/>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80" t="str">
        <f>IFERROR(VLOOKUP($B169,'Список мероприятий'!$AX$8:$BB$30,2,FALSE),"")</f>
        <v/>
      </c>
      <c r="D169" s="2381"/>
      <c r="E169" s="2382"/>
      <c r="F169" s="2383" t="str">
        <f>IFERROR(VLOOKUP($B169,'Список мероприятий'!$AX$8:$BB$30,3,FALSE),"")</f>
        <v/>
      </c>
      <c r="G169" s="2384"/>
      <c r="H169" s="2384"/>
      <c r="I169" s="2385"/>
      <c r="J169" s="2383" t="str">
        <f>IFERROR(VLOOKUP($B169,'Список мероприятий'!$AX$8:$BB$30,4,FALSE),"")</f>
        <v/>
      </c>
      <c r="K169" s="2384"/>
      <c r="L169" s="2385"/>
      <c r="M169" s="2386" t="str">
        <f>IFERROR(VLOOKUP($B169,'Список мероприятий'!$AX$8:$BB$30,5,FALSE),"")</f>
        <v/>
      </c>
      <c r="N169" s="2387"/>
      <c r="O169" s="2388"/>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80" t="str">
        <f>IFERROR(VLOOKUP($B170,'Список мероприятий'!$AX$8:$BB$30,2,FALSE),"")</f>
        <v/>
      </c>
      <c r="D170" s="2381"/>
      <c r="E170" s="2382"/>
      <c r="F170" s="2383" t="str">
        <f>IFERROR(VLOOKUP($B170,'Список мероприятий'!$AX$8:$BB$30,3,FALSE),"")</f>
        <v/>
      </c>
      <c r="G170" s="2384"/>
      <c r="H170" s="2384"/>
      <c r="I170" s="2385"/>
      <c r="J170" s="2383" t="str">
        <f>IFERROR(VLOOKUP($B170,'Список мероприятий'!$AX$8:$BB$30,4,FALSE),"")</f>
        <v/>
      </c>
      <c r="K170" s="2384"/>
      <c r="L170" s="2385"/>
      <c r="M170" s="2386" t="str">
        <f>IFERROR(VLOOKUP($B170,'Список мероприятий'!$AX$8:$BB$30,5,FALSE),"")</f>
        <v/>
      </c>
      <c r="N170" s="2387"/>
      <c r="O170" s="2388"/>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80" t="str">
        <f>IFERROR(VLOOKUP($B171,'Список мероприятий'!$AX$8:$BB$30,2,FALSE),"")</f>
        <v/>
      </c>
      <c r="D171" s="2381"/>
      <c r="E171" s="2382"/>
      <c r="F171" s="2383" t="str">
        <f>IFERROR(VLOOKUP($B171,'Список мероприятий'!$AX$8:$BB$30,3,FALSE),"")</f>
        <v/>
      </c>
      <c r="G171" s="2384"/>
      <c r="H171" s="2384"/>
      <c r="I171" s="2385"/>
      <c r="J171" s="2383" t="str">
        <f>IFERROR(VLOOKUP($B171,'Список мероприятий'!$AX$8:$BB$30,4,FALSE),"")</f>
        <v/>
      </c>
      <c r="K171" s="2384"/>
      <c r="L171" s="2385"/>
      <c r="M171" s="2386" t="str">
        <f>IFERROR(VLOOKUP($B171,'Список мероприятий'!$AX$8:$BB$30,5,FALSE),"")</f>
        <v/>
      </c>
      <c r="N171" s="2387"/>
      <c r="O171" s="2388"/>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80" t="str">
        <f>IFERROR(VLOOKUP($B172,'Список мероприятий'!$AX$8:$BB$30,2,FALSE),"")</f>
        <v/>
      </c>
      <c r="D172" s="2381"/>
      <c r="E172" s="2382"/>
      <c r="F172" s="2383" t="str">
        <f>IFERROR(VLOOKUP($B172,'Список мероприятий'!$AX$8:$BB$30,3,FALSE),"")</f>
        <v/>
      </c>
      <c r="G172" s="2384"/>
      <c r="H172" s="2384"/>
      <c r="I172" s="2385"/>
      <c r="J172" s="2383" t="str">
        <f>IFERROR(VLOOKUP($B172,'Список мероприятий'!$AX$8:$BB$30,4,FALSE),"")</f>
        <v/>
      </c>
      <c r="K172" s="2384"/>
      <c r="L172" s="2385"/>
      <c r="M172" s="2386" t="str">
        <f>IFERROR(VLOOKUP($B172,'Список мероприятий'!$AX$8:$BB$30,5,FALSE),"")</f>
        <v/>
      </c>
      <c r="N172" s="2387"/>
      <c r="O172" s="2388"/>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80" t="str">
        <f>IFERROR(VLOOKUP($B173,'Список мероприятий'!$AX$8:$BB$30,2,FALSE),"")</f>
        <v/>
      </c>
      <c r="D173" s="2381"/>
      <c r="E173" s="2382"/>
      <c r="F173" s="2383" t="str">
        <f>IFERROR(VLOOKUP($B173,'Список мероприятий'!$AX$8:$BB$30,3,FALSE),"")</f>
        <v/>
      </c>
      <c r="G173" s="2384"/>
      <c r="H173" s="2384"/>
      <c r="I173" s="2385"/>
      <c r="J173" s="2383" t="str">
        <f>IFERROR(VLOOKUP($B173,'Список мероприятий'!$AX$8:$BB$30,4,FALSE),"")</f>
        <v/>
      </c>
      <c r="K173" s="2384"/>
      <c r="L173" s="2385"/>
      <c r="M173" s="2386" t="str">
        <f>IFERROR(VLOOKUP($B173,'Список мероприятий'!$AX$8:$BB$30,5,FALSE),"")</f>
        <v/>
      </c>
      <c r="N173" s="2387"/>
      <c r="O173" s="2388"/>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80" t="str">
        <f>IFERROR(VLOOKUP($B174,'Список мероприятий'!$AX$8:$BB$30,2,FALSE),"")</f>
        <v/>
      </c>
      <c r="D174" s="2381"/>
      <c r="E174" s="2382"/>
      <c r="F174" s="2383" t="str">
        <f>IFERROR(VLOOKUP($B174,'Список мероприятий'!$AX$8:$BB$30,3,FALSE),"")</f>
        <v/>
      </c>
      <c r="G174" s="2384"/>
      <c r="H174" s="2384"/>
      <c r="I174" s="2385"/>
      <c r="J174" s="2383" t="str">
        <f>IFERROR(VLOOKUP($B174,'Список мероприятий'!$AX$8:$BB$30,4,FALSE),"")</f>
        <v/>
      </c>
      <c r="K174" s="2384"/>
      <c r="L174" s="2385"/>
      <c r="M174" s="2386" t="str">
        <f>IFERROR(VLOOKUP($B174,'Список мероприятий'!$AX$8:$BB$30,5,FALSE),"")</f>
        <v/>
      </c>
      <c r="N174" s="2387"/>
      <c r="O174" s="2388"/>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80" t="str">
        <f>IFERROR(VLOOKUP($B175,'Список мероприятий'!$AX$8:$BB$30,2,FALSE),"")</f>
        <v/>
      </c>
      <c r="D175" s="2381"/>
      <c r="E175" s="2382"/>
      <c r="F175" s="2383" t="str">
        <f>IFERROR(VLOOKUP($B175,'Список мероприятий'!$AX$8:$BB$30,3,FALSE),"")</f>
        <v/>
      </c>
      <c r="G175" s="2384"/>
      <c r="H175" s="2384"/>
      <c r="I175" s="2385"/>
      <c r="J175" s="2383" t="str">
        <f>IFERROR(VLOOKUP($B175,'Список мероприятий'!$AX$8:$BB$30,4,FALSE),"")</f>
        <v/>
      </c>
      <c r="K175" s="2384"/>
      <c r="L175" s="2385"/>
      <c r="M175" s="2386" t="str">
        <f>IFERROR(VLOOKUP($B175,'Список мероприятий'!$AX$8:$BB$30,5,FALSE),"")</f>
        <v/>
      </c>
      <c r="N175" s="2387"/>
      <c r="O175" s="2388"/>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80" t="str">
        <f>IFERROR(VLOOKUP($B176,'Список мероприятий'!$AX$8:$BB$30,2,FALSE),"")</f>
        <v/>
      </c>
      <c r="D176" s="2381"/>
      <c r="E176" s="2382"/>
      <c r="F176" s="2383" t="str">
        <f>IFERROR(VLOOKUP($B176,'Список мероприятий'!$AX$8:$BB$30,3,FALSE),"")</f>
        <v/>
      </c>
      <c r="G176" s="2384"/>
      <c r="H176" s="2384"/>
      <c r="I176" s="2385"/>
      <c r="J176" s="2383" t="str">
        <f>IFERROR(VLOOKUP($B176,'Список мероприятий'!$AX$8:$BB$30,4,FALSE),"")</f>
        <v/>
      </c>
      <c r="K176" s="2384"/>
      <c r="L176" s="2385"/>
      <c r="M176" s="2386" t="str">
        <f>IFERROR(VLOOKUP($B176,'Список мероприятий'!$AX$8:$BB$30,5,FALSE),"")</f>
        <v/>
      </c>
      <c r="N176" s="2387"/>
      <c r="O176" s="2388"/>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80" t="str">
        <f>IFERROR(VLOOKUP($B177,'Список мероприятий'!$AX$8:$BB$30,2,FALSE),"")</f>
        <v/>
      </c>
      <c r="D177" s="2381"/>
      <c r="E177" s="2382"/>
      <c r="F177" s="2383" t="str">
        <f>IFERROR(VLOOKUP($B177,'Список мероприятий'!$AX$8:$BB$30,3,FALSE),"")</f>
        <v/>
      </c>
      <c r="G177" s="2384"/>
      <c r="H177" s="2384"/>
      <c r="I177" s="2385"/>
      <c r="J177" s="2383" t="str">
        <f>IFERROR(VLOOKUP($B177,'Список мероприятий'!$AX$8:$BB$30,4,FALSE),"")</f>
        <v/>
      </c>
      <c r="K177" s="2384"/>
      <c r="L177" s="2385"/>
      <c r="M177" s="2386" t="str">
        <f>IFERROR(VLOOKUP($B177,'Список мероприятий'!$AX$8:$BB$30,5,FALSE),"")</f>
        <v/>
      </c>
      <c r="N177" s="2387"/>
      <c r="O177" s="2388"/>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80" t="str">
        <f>IFERROR(VLOOKUP($B178,'Список мероприятий'!$AX$8:$BB$30,2,FALSE),"")</f>
        <v/>
      </c>
      <c r="D178" s="2381"/>
      <c r="E178" s="2382"/>
      <c r="F178" s="2383" t="str">
        <f>IFERROR(VLOOKUP($B178,'Список мероприятий'!$AX$8:$BB$30,3,FALSE),"")</f>
        <v/>
      </c>
      <c r="G178" s="2384"/>
      <c r="H178" s="2384"/>
      <c r="I178" s="2385"/>
      <c r="J178" s="2383" t="str">
        <f>IFERROR(VLOOKUP($B178,'Список мероприятий'!$AX$8:$BB$30,4,FALSE),"")</f>
        <v/>
      </c>
      <c r="K178" s="2384"/>
      <c r="L178" s="2385"/>
      <c r="M178" s="2386" t="str">
        <f>IFERROR(VLOOKUP($B178,'Список мероприятий'!$AX$8:$BB$30,5,FALSE),"")</f>
        <v/>
      </c>
      <c r="N178" s="2387"/>
      <c r="O178" s="2388"/>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80" t="str">
        <f>IFERROR(VLOOKUP($B179,'Список мероприятий'!$AX$8:$BB$30,2,FALSE),"")</f>
        <v/>
      </c>
      <c r="D179" s="2381"/>
      <c r="E179" s="2382"/>
      <c r="F179" s="2383" t="str">
        <f>IFERROR(VLOOKUP($B179,'Список мероприятий'!$AX$8:$BB$30,3,FALSE),"")</f>
        <v/>
      </c>
      <c r="G179" s="2384"/>
      <c r="H179" s="2384"/>
      <c r="I179" s="2385"/>
      <c r="J179" s="2383" t="str">
        <f>IFERROR(VLOOKUP($B179,'Список мероприятий'!$AX$8:$BB$30,4,FALSE),"")</f>
        <v/>
      </c>
      <c r="K179" s="2384"/>
      <c r="L179" s="2385"/>
      <c r="M179" s="2386" t="str">
        <f>IFERROR(VLOOKUP($B179,'Список мероприятий'!$AX$8:$BB$30,5,FALSE),"")</f>
        <v/>
      </c>
      <c r="N179" s="2387"/>
      <c r="O179" s="2388"/>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80" t="str">
        <f>IFERROR(VLOOKUP($B180,'Список мероприятий'!$AX$8:$BB$30,2,FALSE),"")</f>
        <v/>
      </c>
      <c r="D180" s="2381"/>
      <c r="E180" s="2382"/>
      <c r="F180" s="2383" t="str">
        <f>IFERROR(VLOOKUP($B180,'Список мероприятий'!$AX$8:$BB$30,3,FALSE),"")</f>
        <v/>
      </c>
      <c r="G180" s="2384"/>
      <c r="H180" s="2384"/>
      <c r="I180" s="2385"/>
      <c r="J180" s="2383" t="str">
        <f>IFERROR(VLOOKUP($B180,'Список мероприятий'!$AX$8:$BB$30,4,FALSE),"")</f>
        <v/>
      </c>
      <c r="K180" s="2384"/>
      <c r="L180" s="2385"/>
      <c r="M180" s="2386" t="str">
        <f>IFERROR(VLOOKUP($B180,'Список мероприятий'!$AX$8:$BB$30,5,FALSE),"")</f>
        <v/>
      </c>
      <c r="N180" s="2387"/>
      <c r="O180" s="2388"/>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80" t="str">
        <f>IFERROR(VLOOKUP($B181,'Список мероприятий'!$AX$8:$BB$30,2,FALSE),"")</f>
        <v/>
      </c>
      <c r="D181" s="2381"/>
      <c r="E181" s="2382"/>
      <c r="F181" s="2383" t="str">
        <f>IFERROR(VLOOKUP($B181,'Список мероприятий'!$AX$8:$BB$30,3,FALSE),"")</f>
        <v/>
      </c>
      <c r="G181" s="2384"/>
      <c r="H181" s="2384"/>
      <c r="I181" s="2385"/>
      <c r="J181" s="2383" t="str">
        <f>IFERROR(VLOOKUP($B181,'Список мероприятий'!$AX$8:$BB$30,4,FALSE),"")</f>
        <v/>
      </c>
      <c r="K181" s="2384"/>
      <c r="L181" s="2385"/>
      <c r="M181" s="2386" t="str">
        <f>IFERROR(VLOOKUP($B181,'Список мероприятий'!$AX$8:$BB$30,5,FALSE),"")</f>
        <v/>
      </c>
      <c r="N181" s="2387"/>
      <c r="O181" s="2388"/>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32" t="s">
        <v>2282</v>
      </c>
      <c r="C182" s="2332"/>
      <c r="D182" s="2332"/>
      <c r="E182" s="2332"/>
      <c r="F182" s="2332"/>
      <c r="G182" s="2332"/>
      <c r="H182" s="2332"/>
      <c r="I182" s="2332"/>
      <c r="J182" s="2332"/>
      <c r="K182" s="2332"/>
      <c r="L182" s="2332"/>
      <c r="M182" s="2332"/>
      <c r="N182" s="2332"/>
      <c r="O182" s="2332"/>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51" t="s">
        <v>829</v>
      </c>
      <c r="D183" s="2351"/>
      <c r="E183" s="2351"/>
      <c r="F183" s="2351"/>
      <c r="G183" s="2351"/>
      <c r="H183" s="2351"/>
      <c r="I183" s="2351"/>
      <c r="J183" s="2351"/>
      <c r="K183" s="2351"/>
      <c r="L183" s="1664" t="s">
        <v>2165</v>
      </c>
      <c r="M183" s="2351" t="s">
        <v>862</v>
      </c>
      <c r="N183" s="2351"/>
      <c r="O183" s="2351"/>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12" t="s">
        <v>2283</v>
      </c>
      <c r="D184" s="2312"/>
      <c r="E184" s="2312"/>
      <c r="F184" s="2312"/>
      <c r="G184" s="2312"/>
      <c r="H184" s="2312"/>
      <c r="I184" s="2312"/>
      <c r="J184" s="2359" t="s">
        <v>1683</v>
      </c>
      <c r="K184" s="2359"/>
      <c r="L184" s="1663" t="s">
        <v>1167</v>
      </c>
      <c r="M184" s="2389">
        <f>ROUND('Расчет базового уровня'!D13+'Расчет базового уровня'!D16,3)</f>
        <v>1920.21</v>
      </c>
      <c r="N184" s="2389"/>
      <c r="O184" s="2389"/>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12"/>
      <c r="D185" s="2312"/>
      <c r="E185" s="2312"/>
      <c r="F185" s="2312"/>
      <c r="G185" s="2312"/>
      <c r="H185" s="2312"/>
      <c r="I185" s="2312"/>
      <c r="J185" s="2359" t="s">
        <v>1684</v>
      </c>
      <c r="K185" s="2359"/>
      <c r="L185" s="1663" t="s">
        <v>2275</v>
      </c>
      <c r="M185" s="2390">
        <f>ROUND('Расчет базового уровня'!D18/1000,2)</f>
        <v>16.82</v>
      </c>
      <c r="N185" s="2390"/>
      <c r="O185" s="2390"/>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12" t="s">
        <v>2284</v>
      </c>
      <c r="D186" s="2312"/>
      <c r="E186" s="2312"/>
      <c r="F186" s="2312"/>
      <c r="G186" s="2312"/>
      <c r="H186" s="2312"/>
      <c r="I186" s="2312"/>
      <c r="J186" s="2359" t="s">
        <v>1291</v>
      </c>
      <c r="K186" s="2359"/>
      <c r="L186" s="1666" t="s">
        <v>1770</v>
      </c>
      <c r="M186" s="2391">
        <f>IFERROR('Экономический расчет'!H22,"-")</f>
        <v>2790170.88</v>
      </c>
      <c r="N186" s="2391"/>
      <c r="O186" s="2391"/>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12"/>
      <c r="D187" s="2312"/>
      <c r="E187" s="2312"/>
      <c r="F187" s="2312"/>
      <c r="G187" s="2312"/>
      <c r="H187" s="2312"/>
      <c r="I187" s="2312"/>
      <c r="J187" s="2359" t="s">
        <v>2285</v>
      </c>
      <c r="K187" s="2359"/>
      <c r="L187" s="1666" t="s">
        <v>1770</v>
      </c>
      <c r="M187" s="2391">
        <f>IFERROR('Экономический расчет'!H23,"-")</f>
        <v>2732996.48</v>
      </c>
      <c r="N187" s="2379"/>
      <c r="O187" s="2379"/>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12"/>
      <c r="D188" s="2312"/>
      <c r="E188" s="2312"/>
      <c r="F188" s="2312"/>
      <c r="G188" s="2312"/>
      <c r="H188" s="2312"/>
      <c r="I188" s="2312"/>
      <c r="J188" s="2359" t="s">
        <v>2286</v>
      </c>
      <c r="K188" s="2359"/>
      <c r="L188" s="1666" t="s">
        <v>1770</v>
      </c>
      <c r="M188" s="2391">
        <f>IFERROR('Экономический расчет'!H26,"-")</f>
        <v>57174.400000000001</v>
      </c>
      <c r="N188" s="2379"/>
      <c r="O188" s="2379"/>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12" t="s">
        <v>2287</v>
      </c>
      <c r="D189" s="2312"/>
      <c r="E189" s="2312"/>
      <c r="F189" s="2312"/>
      <c r="G189" s="2312"/>
      <c r="H189" s="2312"/>
      <c r="I189" s="2312"/>
      <c r="J189" s="2359" t="s">
        <v>1683</v>
      </c>
      <c r="K189" s="2359"/>
      <c r="L189" s="1663" t="s">
        <v>1167</v>
      </c>
      <c r="M189" s="2389">
        <f ca="1">ROUND(IF(списки!C53=0,0,'Расчет после реализации'!D12+'Расчет после реализации'!D15)/1163,3)</f>
        <v>1716.05</v>
      </c>
      <c r="N189" s="2389"/>
      <c r="O189" s="2389"/>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12"/>
      <c r="D190" s="2312"/>
      <c r="E190" s="2312"/>
      <c r="F190" s="2312"/>
      <c r="G190" s="2312"/>
      <c r="H190" s="2312"/>
      <c r="I190" s="2312"/>
      <c r="J190" s="2359" t="s">
        <v>1684</v>
      </c>
      <c r="K190" s="2359"/>
      <c r="L190" s="1663" t="s">
        <v>2275</v>
      </c>
      <c r="M190" s="2390">
        <f ca="1">ROUND(IF(списки!C53=0,0,'Расчет после реализации'!D18)/1000,2)</f>
        <v>18.48</v>
      </c>
      <c r="N190" s="2390"/>
      <c r="O190" s="2390"/>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12" t="s">
        <v>2288</v>
      </c>
      <c r="D191" s="2312"/>
      <c r="E191" s="2312"/>
      <c r="F191" s="2312"/>
      <c r="G191" s="2312"/>
      <c r="H191" s="2312"/>
      <c r="I191" s="2312"/>
      <c r="J191" s="2359" t="s">
        <v>1291</v>
      </c>
      <c r="K191" s="2359"/>
      <c r="L191" s="1666" t="s">
        <v>1770</v>
      </c>
      <c r="M191" s="2391">
        <f ca="1">IFERROR('Экономический расчет'!J22,"-")</f>
        <v>2505238.65</v>
      </c>
      <c r="N191" s="2391"/>
      <c r="O191" s="2391"/>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12"/>
      <c r="D192" s="2312"/>
      <c r="E192" s="2312"/>
      <c r="F192" s="2312"/>
      <c r="G192" s="2312"/>
      <c r="H192" s="2312"/>
      <c r="I192" s="2312"/>
      <c r="J192" s="2359" t="s">
        <v>2285</v>
      </c>
      <c r="K192" s="2359"/>
      <c r="L192" s="1666" t="s">
        <v>1770</v>
      </c>
      <c r="M192" s="2391">
        <f ca="1">IFERROR('Экономический расчет'!J23,"-")</f>
        <v>2442419.63</v>
      </c>
      <c r="N192" s="2379"/>
      <c r="O192" s="2379"/>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12"/>
      <c r="D193" s="2312"/>
      <c r="E193" s="2312"/>
      <c r="F193" s="2312"/>
      <c r="G193" s="2312"/>
      <c r="H193" s="2312"/>
      <c r="I193" s="2312"/>
      <c r="J193" s="2359" t="s">
        <v>2286</v>
      </c>
      <c r="K193" s="2359"/>
      <c r="L193" s="1666" t="s">
        <v>1770</v>
      </c>
      <c r="M193" s="2391">
        <f ca="1">IFERROR('Экономический расчет'!J26,"-")</f>
        <v>62819.02</v>
      </c>
      <c r="N193" s="2379"/>
      <c r="O193" s="2379"/>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12" t="s">
        <v>2289</v>
      </c>
      <c r="D194" s="2312"/>
      <c r="E194" s="2312"/>
      <c r="F194" s="2312"/>
      <c r="G194" s="2312"/>
      <c r="H194" s="2312"/>
      <c r="I194" s="2312"/>
      <c r="J194" s="2312"/>
      <c r="K194" s="2312"/>
      <c r="L194" s="1666" t="s">
        <v>1164</v>
      </c>
      <c r="M194" s="2349">
        <f ca="1">IFERROR(ROUND(100*'Экономический расчет'!H33,2),"-")</f>
        <v>10.210000000000001</v>
      </c>
      <c r="N194" s="2349"/>
      <c r="O194" s="2349"/>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12" t="s">
        <v>2290</v>
      </c>
      <c r="D195" s="2312"/>
      <c r="E195" s="2312"/>
      <c r="F195" s="2312"/>
      <c r="G195" s="2312"/>
      <c r="H195" s="2312"/>
      <c r="I195" s="2312"/>
      <c r="J195" s="2312"/>
      <c r="K195" s="2312"/>
      <c r="L195" s="1666" t="s">
        <v>1770</v>
      </c>
      <c r="M195" s="2391">
        <f ca="1">IFERROR('Экономический расчет'!H32,"-")</f>
        <v>284876.45</v>
      </c>
      <c r="N195" s="2391"/>
      <c r="O195" s="2391"/>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12" t="s">
        <v>2291</v>
      </c>
      <c r="D196" s="2312"/>
      <c r="E196" s="2312"/>
      <c r="F196" s="2312"/>
      <c r="G196" s="2312"/>
      <c r="H196" s="2312"/>
      <c r="I196" s="2312"/>
      <c r="J196" s="2312"/>
      <c r="K196" s="2312"/>
      <c r="L196" s="1666" t="s">
        <v>1770</v>
      </c>
      <c r="M196" s="2391">
        <f ca="1">IFERROR('Экономический расчет'!H81,"-")</f>
        <v>225772.80000000002</v>
      </c>
      <c r="N196" s="2391"/>
      <c r="O196" s="2391"/>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42" customHeight="1" x14ac:dyDescent="0.25">
      <c r="A198" s="264"/>
      <c r="B198" s="2393" t="s">
        <v>2507</v>
      </c>
      <c r="C198" s="2393"/>
      <c r="D198" s="2393"/>
      <c r="E198" s="2393"/>
      <c r="F198" s="2393"/>
      <c r="G198" s="2393"/>
      <c r="H198" s="1654"/>
      <c r="I198" s="1654"/>
      <c r="J198" s="2394"/>
      <c r="K198" s="2394"/>
      <c r="L198" s="1654"/>
      <c r="M198" s="1654"/>
      <c r="N198" s="1654"/>
      <c r="O198" s="1654"/>
      <c r="P198" s="264"/>
      <c r="Q198" s="264"/>
      <c r="R198" s="264"/>
      <c r="S198" s="264"/>
      <c r="T198" s="264"/>
      <c r="U198" s="264"/>
      <c r="V198" s="264"/>
      <c r="W198" s="264"/>
      <c r="X198" s="264"/>
      <c r="Y198" s="264"/>
      <c r="Z198" s="264"/>
      <c r="AA198" s="264"/>
      <c r="AB198" s="264"/>
      <c r="AC198" s="264"/>
    </row>
    <row r="199" spans="1:29" ht="18.75" customHeight="1" x14ac:dyDescent="0.25">
      <c r="A199" s="264"/>
      <c r="B199" s="2393"/>
      <c r="C199" s="2393"/>
      <c r="D199" s="2393"/>
      <c r="E199" s="2393"/>
      <c r="F199" s="2393"/>
      <c r="G199" s="2393"/>
      <c r="H199" s="1654"/>
      <c r="I199" s="1654"/>
      <c r="J199" s="2395" t="s">
        <v>2292</v>
      </c>
      <c r="K199" s="2395"/>
      <c r="L199" s="1654"/>
      <c r="M199" s="2395" t="s">
        <v>2293</v>
      </c>
      <c r="N199" s="2395"/>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2:E162"/>
    <mergeCell ref="F162:I162"/>
    <mergeCell ref="J162:L162"/>
    <mergeCell ref="M162:O162"/>
    <mergeCell ref="C159:E159"/>
    <mergeCell ref="F159:I159"/>
    <mergeCell ref="J159:L159"/>
    <mergeCell ref="M159:O159"/>
    <mergeCell ref="C160:E160"/>
    <mergeCell ref="F160:I160"/>
    <mergeCell ref="J160:L160"/>
    <mergeCell ref="M160:O160"/>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37:K137"/>
    <mergeCell ref="M137:O137"/>
    <mergeCell ref="C138:K138"/>
    <mergeCell ref="M138:O138"/>
    <mergeCell ref="B139:O139"/>
    <mergeCell ref="B140:C140"/>
    <mergeCell ref="D140:D141"/>
    <mergeCell ref="E140:G140"/>
    <mergeCell ref="H140:J140"/>
    <mergeCell ref="K140:O140"/>
    <mergeCell ref="B141:B142"/>
    <mergeCell ref="C141:C142"/>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19:K119"/>
    <mergeCell ref="M119:O119"/>
    <mergeCell ref="B120:O120"/>
    <mergeCell ref="C121:K121"/>
    <mergeCell ref="M121:O121"/>
    <mergeCell ref="C122:D125"/>
    <mergeCell ref="E122:K122"/>
    <mergeCell ref="M122:O122"/>
    <mergeCell ref="E123:K123"/>
    <mergeCell ref="M123:O123"/>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08:K108"/>
    <mergeCell ref="M108:O108"/>
    <mergeCell ref="C109:K109"/>
    <mergeCell ref="M109:O109"/>
    <mergeCell ref="C110:D111"/>
    <mergeCell ref="E110:K110"/>
    <mergeCell ref="M110:O110"/>
    <mergeCell ref="E111:K111"/>
    <mergeCell ref="M111:O111"/>
    <mergeCell ref="C104:K104"/>
    <mergeCell ref="M104:O104"/>
    <mergeCell ref="C105:K105"/>
    <mergeCell ref="M105:O105"/>
    <mergeCell ref="C106:D107"/>
    <mergeCell ref="E106:K106"/>
    <mergeCell ref="M106:O106"/>
    <mergeCell ref="E107:K107"/>
    <mergeCell ref="M107:O10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98:E98"/>
    <mergeCell ref="F98:G98"/>
    <mergeCell ref="H98:I98"/>
    <mergeCell ref="J98:K98"/>
    <mergeCell ref="L98:M98"/>
    <mergeCell ref="N98:O98"/>
    <mergeCell ref="C97:E97"/>
    <mergeCell ref="F97:G97"/>
    <mergeCell ref="H97:I97"/>
    <mergeCell ref="J97:K97"/>
    <mergeCell ref="L97:M97"/>
    <mergeCell ref="N97:O97"/>
    <mergeCell ref="C96:E96"/>
    <mergeCell ref="F96:G96"/>
    <mergeCell ref="H96:I96"/>
    <mergeCell ref="J96:K96"/>
    <mergeCell ref="L96:M96"/>
    <mergeCell ref="N96:O96"/>
    <mergeCell ref="N94:O94"/>
    <mergeCell ref="C95:E95"/>
    <mergeCell ref="F95:G95"/>
    <mergeCell ref="H95:I95"/>
    <mergeCell ref="J95:K95"/>
    <mergeCell ref="L95:M95"/>
    <mergeCell ref="N95:O95"/>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86:K86"/>
    <mergeCell ref="M86:O86"/>
    <mergeCell ref="C87:K87"/>
    <mergeCell ref="M87:O87"/>
    <mergeCell ref="C88:D90"/>
    <mergeCell ref="E88:K88"/>
    <mergeCell ref="M88:O88"/>
    <mergeCell ref="E89:K89"/>
    <mergeCell ref="M89:O89"/>
    <mergeCell ref="E90:K90"/>
    <mergeCell ref="C83:K83"/>
    <mergeCell ref="M83:O83"/>
    <mergeCell ref="C84:K84"/>
    <mergeCell ref="M84:O84"/>
    <mergeCell ref="C85:K85"/>
    <mergeCell ref="M85:O85"/>
    <mergeCell ref="C80:K80"/>
    <mergeCell ref="M80:O80"/>
    <mergeCell ref="C81:K81"/>
    <mergeCell ref="M81:O81"/>
    <mergeCell ref="C82:K82"/>
    <mergeCell ref="M82:O82"/>
    <mergeCell ref="C76:K76"/>
    <mergeCell ref="M76:O76"/>
    <mergeCell ref="B77:O77"/>
    <mergeCell ref="C78:K78"/>
    <mergeCell ref="M78:O78"/>
    <mergeCell ref="C79:K79"/>
    <mergeCell ref="M79:O79"/>
    <mergeCell ref="C73:K73"/>
    <mergeCell ref="M73:O73"/>
    <mergeCell ref="C74:K74"/>
    <mergeCell ref="M74:O74"/>
    <mergeCell ref="C75:K75"/>
    <mergeCell ref="M75:O75"/>
    <mergeCell ref="B69:O69"/>
    <mergeCell ref="C70:K70"/>
    <mergeCell ref="M70:O70"/>
    <mergeCell ref="C71:K71"/>
    <mergeCell ref="M71:O71"/>
    <mergeCell ref="C72:K72"/>
    <mergeCell ref="M72:O72"/>
    <mergeCell ref="C66:K66"/>
    <mergeCell ref="M66:O66"/>
    <mergeCell ref="C67:K67"/>
    <mergeCell ref="M67:O67"/>
    <mergeCell ref="C68:K68"/>
    <mergeCell ref="M68:O68"/>
    <mergeCell ref="C63:K63"/>
    <mergeCell ref="M63:O63"/>
    <mergeCell ref="C64:K64"/>
    <mergeCell ref="M64:O64"/>
    <mergeCell ref="C65:K65"/>
    <mergeCell ref="M65:O65"/>
    <mergeCell ref="C59:K59"/>
    <mergeCell ref="M59:O59"/>
    <mergeCell ref="B60:O60"/>
    <mergeCell ref="C61:K61"/>
    <mergeCell ref="M61:O61"/>
    <mergeCell ref="C62:K62"/>
    <mergeCell ref="M62:O62"/>
    <mergeCell ref="C56:K56"/>
    <mergeCell ref="M56:O56"/>
    <mergeCell ref="C57:K57"/>
    <mergeCell ref="M57:O57"/>
    <mergeCell ref="C58:K58"/>
    <mergeCell ref="M58:O58"/>
    <mergeCell ref="C53:K53"/>
    <mergeCell ref="M53:O53"/>
    <mergeCell ref="C54:K54"/>
    <mergeCell ref="M54:O54"/>
    <mergeCell ref="C55:K55"/>
    <mergeCell ref="M55:O55"/>
    <mergeCell ref="C50:K50"/>
    <mergeCell ref="M50:O50"/>
    <mergeCell ref="C51:K51"/>
    <mergeCell ref="M51:O51"/>
    <mergeCell ref="C52:K52"/>
    <mergeCell ref="M52:O52"/>
    <mergeCell ref="M46:O46"/>
    <mergeCell ref="E47:K47"/>
    <mergeCell ref="M47:O47"/>
    <mergeCell ref="E48:K48"/>
    <mergeCell ref="M48:O48"/>
    <mergeCell ref="C49:K49"/>
    <mergeCell ref="M49:O49"/>
    <mergeCell ref="C42:K42"/>
    <mergeCell ref="M42:O42"/>
    <mergeCell ref="C43:D48"/>
    <mergeCell ref="E43:K43"/>
    <mergeCell ref="M43:O43"/>
    <mergeCell ref="E44:K44"/>
    <mergeCell ref="M44:O44"/>
    <mergeCell ref="E45:K45"/>
    <mergeCell ref="M45:O45"/>
    <mergeCell ref="E46:K46"/>
    <mergeCell ref="C39:K39"/>
    <mergeCell ref="M39:O39"/>
    <mergeCell ref="C40:K40"/>
    <mergeCell ref="M40:O40"/>
    <mergeCell ref="C41:K41"/>
    <mergeCell ref="M41:O41"/>
    <mergeCell ref="B35:O35"/>
    <mergeCell ref="C36:K36"/>
    <mergeCell ref="M36:O36"/>
    <mergeCell ref="C37:K37"/>
    <mergeCell ref="M37:O37"/>
    <mergeCell ref="C38:K38"/>
    <mergeCell ref="M38:O38"/>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24:D25"/>
    <mergeCell ref="E24:K24"/>
    <mergeCell ref="M24:O24"/>
    <mergeCell ref="E25:K25"/>
    <mergeCell ref="M25:O25"/>
    <mergeCell ref="C26:D28"/>
    <mergeCell ref="E26:K26"/>
    <mergeCell ref="M26:O26"/>
    <mergeCell ref="E27:K27"/>
    <mergeCell ref="M27:O27"/>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12:K12"/>
    <mergeCell ref="M12:O12"/>
    <mergeCell ref="C7:K7"/>
    <mergeCell ref="M7:O7"/>
    <mergeCell ref="C8:K8"/>
    <mergeCell ref="M8:O8"/>
    <mergeCell ref="C9:K9"/>
    <mergeCell ref="M9:O9"/>
    <mergeCell ref="C13:D14"/>
    <mergeCell ref="E13:K13"/>
    <mergeCell ref="M13:O13"/>
    <mergeCell ref="E14:K14"/>
    <mergeCell ref="M14:O14"/>
    <mergeCell ref="C3:K3"/>
    <mergeCell ref="L3:O3"/>
    <mergeCell ref="C4:O4"/>
    <mergeCell ref="C6:K6"/>
    <mergeCell ref="M6:O6"/>
    <mergeCell ref="B5:O5"/>
    <mergeCell ref="C10:K10"/>
    <mergeCell ref="M10:O10"/>
    <mergeCell ref="C11:K11"/>
    <mergeCell ref="M11:O11"/>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5" right="0.25" top="0.75" bottom="0.75" header="0.3" footer="0.3"/>
  <pageSetup paperSize="9" scale="69" fitToHeight="0" orientation="landscape" horizontalDpi="4294967293" verticalDpi="4294967293"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61" t="s">
        <v>2500</v>
      </c>
      <c r="C1" s="2161"/>
      <c r="D1" s="2161"/>
      <c r="E1" s="1923" t="s">
        <v>1570</v>
      </c>
      <c r="F1" s="23"/>
      <c r="G1" s="24"/>
      <c r="H1" s="24"/>
      <c r="I1" s="24"/>
    </row>
    <row r="2" spans="1:26" ht="53.25" customHeight="1" x14ac:dyDescent="0.2">
      <c r="A2" s="26"/>
      <c r="B2" s="2401" t="s">
        <v>1723</v>
      </c>
      <c r="C2" s="2401"/>
      <c r="D2" s="2401"/>
      <c r="E2" s="2401"/>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02" t="s">
        <v>1724</v>
      </c>
      <c r="C3" s="2402"/>
      <c r="D3" s="2402"/>
      <c r="E3" s="2402"/>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03" t="s">
        <v>1572</v>
      </c>
      <c r="C4" s="2404"/>
      <c r="D4" s="2404"/>
      <c r="E4" s="2405"/>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06" t="s">
        <v>1573</v>
      </c>
      <c r="C5" s="2407"/>
      <c r="D5" s="2408"/>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398" t="s">
        <v>1576</v>
      </c>
      <c r="C6" s="2399"/>
      <c r="D6" s="2400"/>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398" t="s">
        <v>1579</v>
      </c>
      <c r="C7" s="2399"/>
      <c r="D7" s="2400"/>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398" t="s">
        <v>1582</v>
      </c>
      <c r="C8" s="2399"/>
      <c r="D8" s="2400"/>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398" t="s">
        <v>1585</v>
      </c>
      <c r="C9" s="2399"/>
      <c r="D9" s="2400"/>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398" t="s">
        <v>1587</v>
      </c>
      <c r="C10" s="2399"/>
      <c r="D10" s="2400"/>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398" t="s">
        <v>1589</v>
      </c>
      <c r="C11" s="2399"/>
      <c r="D11" s="2400"/>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398" t="s">
        <v>1590</v>
      </c>
      <c r="C12" s="2399"/>
      <c r="D12" s="2400"/>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09"/>
      <c r="C13" s="2410"/>
      <c r="D13" s="2411"/>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03" t="s">
        <v>1725</v>
      </c>
      <c r="C14" s="2404"/>
      <c r="D14" s="2404"/>
      <c r="E14" s="2405"/>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12" t="s">
        <v>1726</v>
      </c>
      <c r="D15" s="2412"/>
      <c r="E15" s="2413"/>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14" t="s">
        <v>1593</v>
      </c>
      <c r="E16" s="2415"/>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396" t="s">
        <v>1595</v>
      </c>
      <c r="E17" s="2397"/>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396" t="s">
        <v>1597</v>
      </c>
      <c r="E18" s="2397"/>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6" t="s">
        <v>1598</v>
      </c>
      <c r="C19" s="2418"/>
      <c r="D19" s="2396" t="s">
        <v>1599</v>
      </c>
      <c r="E19" s="2397"/>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7"/>
      <c r="C20" s="2419"/>
      <c r="D20" s="2420"/>
      <c r="E20" s="2421"/>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12" t="s">
        <v>1727</v>
      </c>
      <c r="D21" s="2412"/>
      <c r="E21" s="2413"/>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14" t="s">
        <v>1601</v>
      </c>
      <c r="E22" s="2415"/>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396" t="s">
        <v>1603</v>
      </c>
      <c r="E23" s="2397"/>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396" t="s">
        <v>1604</v>
      </c>
      <c r="E24" s="2397"/>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396" t="s">
        <v>1605</v>
      </c>
      <c r="E25" s="2397"/>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396" t="s">
        <v>1607</v>
      </c>
      <c r="E26" s="2397"/>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22" t="s">
        <v>1599</v>
      </c>
      <c r="E27" s="2423"/>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12" t="s">
        <v>1610</v>
      </c>
      <c r="D28" s="2412"/>
      <c r="E28" s="2413"/>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14" t="s">
        <v>1611</v>
      </c>
      <c r="E29" s="2415"/>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396" t="s">
        <v>1612</v>
      </c>
      <c r="E30" s="2397"/>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396" t="s">
        <v>1613</v>
      </c>
      <c r="E31" s="2397"/>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22" t="s">
        <v>1614</v>
      </c>
      <c r="E32" s="2423"/>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12" t="s">
        <v>1728</v>
      </c>
      <c r="D33" s="2412"/>
      <c r="E33" s="2413"/>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14" t="s">
        <v>1735</v>
      </c>
      <c r="E34" s="2415"/>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396" t="s">
        <v>1617</v>
      </c>
      <c r="E35" s="2397"/>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396" t="s">
        <v>1618</v>
      </c>
      <c r="E36" s="2397"/>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3" t="s">
        <v>1736</v>
      </c>
      <c r="E37" s="2434"/>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12" t="s">
        <v>1729</v>
      </c>
      <c r="D38" s="2412"/>
      <c r="E38" s="2413"/>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1" t="s">
        <v>1621</v>
      </c>
      <c r="E39" s="2432"/>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24" t="s">
        <v>1594</v>
      </c>
      <c r="C40" s="2418"/>
      <c r="D40" s="2427" t="s">
        <v>1622</v>
      </c>
      <c r="E40" s="2428"/>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25"/>
      <c r="C41" s="2426"/>
      <c r="D41" s="2429"/>
      <c r="E41" s="2430"/>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27" t="s">
        <v>1623</v>
      </c>
      <c r="E42" s="2428"/>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27" t="s">
        <v>1624</v>
      </c>
      <c r="E43" s="2428"/>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6" t="s">
        <v>1606</v>
      </c>
      <c r="C44" s="2435"/>
      <c r="D44" s="2437" t="s">
        <v>1599</v>
      </c>
      <c r="E44" s="2438"/>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7"/>
      <c r="C45" s="2436"/>
      <c r="D45" s="2420"/>
      <c r="E45" s="2421"/>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12" t="s">
        <v>1730</v>
      </c>
      <c r="D46" s="2412"/>
      <c r="E46" s="2413"/>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396" t="s">
        <v>1627</v>
      </c>
      <c r="E48" s="2397"/>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396" t="s">
        <v>1629</v>
      </c>
      <c r="E49" s="2397"/>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396" t="s">
        <v>1631</v>
      </c>
      <c r="E50" s="2397"/>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396" t="s">
        <v>1632</v>
      </c>
      <c r="E51" s="2397"/>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396" t="s">
        <v>1633</v>
      </c>
      <c r="E52" s="2397"/>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24" t="s">
        <v>2136</v>
      </c>
      <c r="C53" s="2418"/>
      <c r="D53" s="2396" t="s">
        <v>1599</v>
      </c>
      <c r="E53" s="2397"/>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41"/>
      <c r="C54" s="2419"/>
      <c r="D54" s="2442"/>
      <c r="E54" s="2443"/>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12" t="s">
        <v>1635</v>
      </c>
      <c r="D55" s="2412"/>
      <c r="E55" s="2413"/>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14" t="s">
        <v>1636</v>
      </c>
      <c r="E56" s="2415"/>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6" t="s">
        <v>1594</v>
      </c>
      <c r="C57" s="2435"/>
      <c r="D57" s="2396" t="s">
        <v>1637</v>
      </c>
      <c r="E57" s="2397"/>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6"/>
      <c r="C58" s="2435"/>
      <c r="D58" s="2439"/>
      <c r="E58" s="2440"/>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396" t="s">
        <v>1638</v>
      </c>
      <c r="E59" s="2397"/>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22" t="s">
        <v>1639</v>
      </c>
      <c r="E60" s="2423"/>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12" t="s">
        <v>1731</v>
      </c>
      <c r="D61" s="2412"/>
      <c r="E61" s="2413"/>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14" t="s">
        <v>1642</v>
      </c>
      <c r="E62" s="2415"/>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6" t="s">
        <v>1594</v>
      </c>
      <c r="C63" s="2435"/>
      <c r="D63" s="2396" t="s">
        <v>1644</v>
      </c>
      <c r="E63" s="2397"/>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6"/>
      <c r="C64" s="2435"/>
      <c r="D64" s="2439"/>
      <c r="E64" s="2440"/>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396" t="s">
        <v>1646</v>
      </c>
      <c r="E65" s="2397"/>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22" t="s">
        <v>1647</v>
      </c>
      <c r="E66" s="2423"/>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12" t="s">
        <v>1732</v>
      </c>
      <c r="D67" s="2412"/>
      <c r="E67" s="2413"/>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14" t="s">
        <v>1649</v>
      </c>
      <c r="E68" s="2415"/>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396" t="s">
        <v>1651</v>
      </c>
      <c r="E69" s="2397"/>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44" t="s">
        <v>1647</v>
      </c>
      <c r="E70" s="2445"/>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12" t="s">
        <v>1733</v>
      </c>
      <c r="D71" s="2412"/>
      <c r="E71" s="2413"/>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14" t="s">
        <v>1654</v>
      </c>
      <c r="E72" s="2415"/>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396" t="s">
        <v>1655</v>
      </c>
      <c r="E73" s="2397"/>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396" t="s">
        <v>1656</v>
      </c>
      <c r="E74" s="2397"/>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44" t="s">
        <v>1647</v>
      </c>
      <c r="E75" s="2445"/>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12" t="s">
        <v>1734</v>
      </c>
      <c r="D76" s="2412"/>
      <c r="E76" s="2413"/>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446"/>
      <c r="C77" s="2447"/>
      <c r="D77" s="2447"/>
      <c r="E77" s="2448"/>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49" t="s">
        <v>1737</v>
      </c>
      <c r="C79" s="2449"/>
      <c r="D79" s="2449"/>
      <c r="E79" s="2449"/>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B77:E77"/>
    <mergeCell ref="B79:E79"/>
    <mergeCell ref="C71:E71"/>
    <mergeCell ref="D72:E72"/>
    <mergeCell ref="D73:E73"/>
    <mergeCell ref="D74:E74"/>
    <mergeCell ref="D75:E75"/>
    <mergeCell ref="C76:E76"/>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53:B54"/>
    <mergeCell ref="C53:C54"/>
    <mergeCell ref="D53:E53"/>
    <mergeCell ref="D54:E54"/>
    <mergeCell ref="C55:E55"/>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D35:E35"/>
    <mergeCell ref="D36:E36"/>
    <mergeCell ref="D37:E37"/>
    <mergeCell ref="D42:E42"/>
    <mergeCell ref="D29:E29"/>
    <mergeCell ref="D30:E30"/>
    <mergeCell ref="D31:E31"/>
    <mergeCell ref="B40:B41"/>
    <mergeCell ref="C40:C41"/>
    <mergeCell ref="D40:E40"/>
    <mergeCell ref="D41:E41"/>
    <mergeCell ref="C38:E38"/>
    <mergeCell ref="D39:E39"/>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3"/>
      <c r="B1" s="2453"/>
      <c r="C1" s="2453"/>
      <c r="D1" s="2453"/>
      <c r="E1" s="2453"/>
      <c r="F1" s="2453"/>
      <c r="G1" s="2453"/>
      <c r="H1" s="2453"/>
      <c r="I1" s="2453"/>
      <c r="J1" s="2453"/>
      <c r="K1" s="2453"/>
      <c r="L1" s="2453"/>
      <c r="M1" s="2453"/>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списке94</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0" t="s">
        <v>1353</v>
      </c>
      <c r="C6" s="2451"/>
      <c r="D6" s="2451"/>
      <c r="E6" s="2451"/>
      <c r="F6" s="2452"/>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списке94</v>
      </c>
      <c r="D76" s="965">
        <f>'Ввод исходных данных'!D19</f>
        <v>9</v>
      </c>
      <c r="E76" s="965">
        <f>'Ввод исходных данных'!D17</f>
        <v>4</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25.3</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222.4</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4" t="s">
        <v>1998</v>
      </c>
      <c r="C77" s="2454"/>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0</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0</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0</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4</v>
      </c>
    </row>
    <row r="97" spans="2:3" x14ac:dyDescent="0.25">
      <c r="B97" s="1350" t="s">
        <v>2017</v>
      </c>
      <c r="C97" s="1426">
        <f>C96*2.5</f>
        <v>10</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27</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55" t="s">
        <v>1155</v>
      </c>
      <c r="B3" s="2455"/>
      <c r="C3" s="2455"/>
      <c r="D3" s="2455"/>
      <c r="E3" s="2455"/>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56" t="s">
        <v>829</v>
      </c>
      <c r="B4" s="2458" t="s">
        <v>1157</v>
      </c>
      <c r="C4" s="2460" t="s">
        <v>1158</v>
      </c>
      <c r="D4" s="2462" t="s">
        <v>1159</v>
      </c>
      <c r="E4" s="2464" t="s">
        <v>1160</v>
      </c>
      <c r="F4" s="50"/>
      <c r="G4" s="2456" t="s">
        <v>829</v>
      </c>
      <c r="H4" s="2458" t="s">
        <v>1157</v>
      </c>
      <c r="I4" s="2466" t="s">
        <v>488</v>
      </c>
      <c r="J4" s="2467"/>
      <c r="K4" s="2468"/>
      <c r="L4" s="2466" t="s">
        <v>489</v>
      </c>
      <c r="M4" s="2467"/>
      <c r="N4" s="2468"/>
      <c r="O4" s="2466" t="s">
        <v>490</v>
      </c>
      <c r="P4" s="2467"/>
      <c r="Q4" s="2468"/>
      <c r="R4" s="2466" t="s">
        <v>491</v>
      </c>
      <c r="S4" s="2467"/>
      <c r="T4" s="2468"/>
      <c r="U4" s="2466" t="s">
        <v>800</v>
      </c>
      <c r="V4" s="2467"/>
      <c r="W4" s="2468"/>
      <c r="X4" s="2466" t="s">
        <v>801</v>
      </c>
      <c r="Y4" s="2467"/>
      <c r="Z4" s="2468"/>
      <c r="AA4" s="2466" t="s">
        <v>802</v>
      </c>
      <c r="AB4" s="2467"/>
      <c r="AC4" s="2468"/>
      <c r="AD4" s="2466" t="s">
        <v>803</v>
      </c>
      <c r="AE4" s="2467"/>
      <c r="AF4" s="2468"/>
      <c r="AG4" s="2466" t="s">
        <v>804</v>
      </c>
      <c r="AH4" s="2467"/>
      <c r="AI4" s="2468"/>
      <c r="AJ4" s="2466" t="s">
        <v>482</v>
      </c>
      <c r="AK4" s="2467"/>
      <c r="AL4" s="2468"/>
      <c r="AM4" s="2466" t="s">
        <v>486</v>
      </c>
      <c r="AN4" s="2467"/>
      <c r="AO4" s="2468"/>
      <c r="AP4" s="2469" t="s">
        <v>487</v>
      </c>
      <c r="AQ4" s="2470"/>
      <c r="AR4" s="2471"/>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57"/>
      <c r="B5" s="2459"/>
      <c r="C5" s="2461"/>
      <c r="D5" s="2463"/>
      <c r="E5" s="2465"/>
      <c r="F5" s="50"/>
      <c r="G5" s="2457"/>
      <c r="H5" s="2459"/>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 ca="1">C12+C15+C18</f>
        <v>2341150.6631757636</v>
      </c>
      <c r="D6" s="487">
        <f>D12+D15+D18</f>
        <v>2250020.23</v>
      </c>
      <c r="E6" s="488">
        <f ca="1">E12+E15+E18</f>
        <v>2423125.280936162</v>
      </c>
      <c r="F6" s="50"/>
      <c r="G6" s="489" t="s">
        <v>1161</v>
      </c>
      <c r="H6" s="490" t="s">
        <v>837</v>
      </c>
      <c r="I6" s="295">
        <f t="shared" ref="I6:AR6" ca="1" si="0">I12+I15+I18</f>
        <v>323511.08361030201</v>
      </c>
      <c r="J6" s="491">
        <f t="shared" si="0"/>
        <v>315482.34999999998</v>
      </c>
      <c r="K6" s="492">
        <f t="shared" ca="1" si="0"/>
        <v>336412.32423076924</v>
      </c>
      <c r="L6" s="295">
        <f t="shared" ca="1" si="0"/>
        <v>280066.11614575848</v>
      </c>
      <c r="M6" s="491">
        <f t="shared" si="0"/>
        <v>286681.14</v>
      </c>
      <c r="N6" s="492">
        <f t="shared" ca="1" si="0"/>
        <v>289442.44470219431</v>
      </c>
      <c r="O6" s="493">
        <f t="shared" ca="1" si="0"/>
        <v>241864.47956214458</v>
      </c>
      <c r="P6" s="494">
        <f t="shared" si="0"/>
        <v>308640.84999999998</v>
      </c>
      <c r="Q6" s="495">
        <f t="shared" ca="1" si="0"/>
        <v>274341.44474048441</v>
      </c>
      <c r="R6" s="295">
        <f t="shared" ca="1" si="0"/>
        <v>166955.74433184729</v>
      </c>
      <c r="S6" s="491">
        <f t="shared" si="0"/>
        <v>226623.69000000003</v>
      </c>
      <c r="T6" s="492">
        <f t="shared" ca="1" si="0"/>
        <v>218766.82293103449</v>
      </c>
      <c r="U6" s="493">
        <f t="shared" ca="1" si="0"/>
        <v>46433.069108162723</v>
      </c>
      <c r="V6" s="494">
        <f t="shared" si="0"/>
        <v>125168.39000000001</v>
      </c>
      <c r="W6" s="495">
        <f t="shared" ca="1" si="0"/>
        <v>91497.039550000001</v>
      </c>
      <c r="X6" s="295">
        <f t="shared" si="0"/>
        <v>27593.063835470086</v>
      </c>
      <c r="Y6" s="491">
        <f t="shared" si="0"/>
        <v>45807.899999999994</v>
      </c>
      <c r="Z6" s="492">
        <f t="shared" ca="1" si="0"/>
        <v>45807.899999999994</v>
      </c>
      <c r="AA6" s="493">
        <f t="shared" si="0"/>
        <v>27593.063835470086</v>
      </c>
      <c r="AB6" s="494">
        <f t="shared" si="0"/>
        <v>34381.54</v>
      </c>
      <c r="AC6" s="495">
        <f t="shared" ca="1" si="0"/>
        <v>34381.54</v>
      </c>
      <c r="AD6" s="295">
        <f t="shared" si="0"/>
        <v>22686.699519230766</v>
      </c>
      <c r="AE6" s="491">
        <f t="shared" si="0"/>
        <v>32357.550000000003</v>
      </c>
      <c r="AF6" s="492">
        <f t="shared" ca="1" si="0"/>
        <v>32357.550000000003</v>
      </c>
      <c r="AG6" s="295">
        <f t="shared" ca="1" si="0"/>
        <v>59719.937331013054</v>
      </c>
      <c r="AH6" s="491">
        <f t="shared" si="0"/>
        <v>122220.19</v>
      </c>
      <c r="AI6" s="492">
        <f t="shared" ca="1" si="0"/>
        <v>100463.222125</v>
      </c>
      <c r="AJ6" s="295">
        <f t="shared" ca="1" si="0"/>
        <v>182800.97876134975</v>
      </c>
      <c r="AK6" s="491">
        <f t="shared" si="0"/>
        <v>227615.25000000003</v>
      </c>
      <c r="AL6" s="492">
        <f t="shared" ca="1" si="0"/>
        <v>233126.23771929825</v>
      </c>
      <c r="AM6" s="295">
        <f t="shared" ca="1" si="0"/>
        <v>243446.90049226937</v>
      </c>
      <c r="AN6" s="491">
        <f t="shared" si="0"/>
        <v>240987.93</v>
      </c>
      <c r="AO6" s="492">
        <f t="shared" ca="1" si="0"/>
        <v>275841.62037558685</v>
      </c>
      <c r="AP6" s="496">
        <f t="shared" ca="1" si="0"/>
        <v>300927.9803629393</v>
      </c>
      <c r="AQ6" s="497">
        <f t="shared" si="0"/>
        <v>284053.45</v>
      </c>
      <c r="AR6" s="497">
        <f t="shared" ca="1" si="0"/>
        <v>600471.04460317479</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 ca="1">C6*0.123/1000</f>
        <v>287.96153157061889</v>
      </c>
      <c r="D7" s="499">
        <f>D6*0.123/1000</f>
        <v>276.75248829000003</v>
      </c>
      <c r="E7" s="500">
        <f ca="1">E6*0.123/1000</f>
        <v>298.04440955514792</v>
      </c>
      <c r="F7" s="50"/>
      <c r="G7" s="501" t="s">
        <v>868</v>
      </c>
      <c r="H7" s="502" t="s">
        <v>1163</v>
      </c>
      <c r="I7" s="498">
        <f t="shared" ref="I7:AR7" ca="1" si="1">I6*0.123/1000</f>
        <v>39.791863284067148</v>
      </c>
      <c r="J7" s="499">
        <f t="shared" si="1"/>
        <v>38.804329049999993</v>
      </c>
      <c r="K7" s="500">
        <f t="shared" ca="1" si="1"/>
        <v>41.378715880384618</v>
      </c>
      <c r="L7" s="498">
        <f t="shared" ca="1" si="1"/>
        <v>34.448132285928295</v>
      </c>
      <c r="M7" s="499">
        <f t="shared" si="1"/>
        <v>35.261780219999999</v>
      </c>
      <c r="N7" s="500">
        <f t="shared" ca="1" si="1"/>
        <v>35.6014206983699</v>
      </c>
      <c r="O7" s="498">
        <f t="shared" ca="1" si="1"/>
        <v>29.749330986143786</v>
      </c>
      <c r="P7" s="499">
        <f t="shared" si="1"/>
        <v>37.962824550000001</v>
      </c>
      <c r="Q7" s="500">
        <f t="shared" ca="1" si="1"/>
        <v>33.743997703079586</v>
      </c>
      <c r="R7" s="498">
        <f t="shared" ca="1" si="1"/>
        <v>20.535556552817216</v>
      </c>
      <c r="S7" s="499">
        <f t="shared" si="1"/>
        <v>27.874713870000004</v>
      </c>
      <c r="T7" s="500">
        <f t="shared" ca="1" si="1"/>
        <v>26.908319220517242</v>
      </c>
      <c r="U7" s="498">
        <f t="shared" ca="1" si="1"/>
        <v>5.7112675003040145</v>
      </c>
      <c r="V7" s="499">
        <f t="shared" si="1"/>
        <v>15.395711970000002</v>
      </c>
      <c r="W7" s="500">
        <f t="shared" ca="1" si="1"/>
        <v>11.254135864649999</v>
      </c>
      <c r="X7" s="498">
        <f t="shared" si="1"/>
        <v>3.3939468517628208</v>
      </c>
      <c r="Y7" s="499">
        <f t="shared" si="1"/>
        <v>5.6343716999999991</v>
      </c>
      <c r="Z7" s="500">
        <f t="shared" ca="1" si="1"/>
        <v>5.6343716999999991</v>
      </c>
      <c r="AA7" s="498">
        <f t="shared" si="1"/>
        <v>3.3939468517628208</v>
      </c>
      <c r="AB7" s="499">
        <f t="shared" si="1"/>
        <v>4.2289294200000001</v>
      </c>
      <c r="AC7" s="503">
        <f t="shared" ca="1" si="1"/>
        <v>4.2289294200000001</v>
      </c>
      <c r="AD7" s="498">
        <f t="shared" si="1"/>
        <v>2.790464040865384</v>
      </c>
      <c r="AE7" s="499">
        <f t="shared" si="1"/>
        <v>3.9799786500000005</v>
      </c>
      <c r="AF7" s="500">
        <f t="shared" ca="1" si="1"/>
        <v>3.9799786500000005</v>
      </c>
      <c r="AG7" s="498">
        <f t="shared" ca="1" si="1"/>
        <v>7.345552291714605</v>
      </c>
      <c r="AH7" s="499">
        <f t="shared" si="1"/>
        <v>15.03308337</v>
      </c>
      <c r="AI7" s="500">
        <f t="shared" ca="1" si="1"/>
        <v>12.356976321374999</v>
      </c>
      <c r="AJ7" s="498">
        <f t="shared" ca="1" si="1"/>
        <v>22.484520387646018</v>
      </c>
      <c r="AK7" s="499">
        <f t="shared" si="1"/>
        <v>27.996675750000001</v>
      </c>
      <c r="AL7" s="500">
        <f t="shared" ca="1" si="1"/>
        <v>28.674527239473687</v>
      </c>
      <c r="AM7" s="498">
        <f t="shared" ca="1" si="1"/>
        <v>29.943968760549129</v>
      </c>
      <c r="AN7" s="499">
        <f t="shared" si="1"/>
        <v>29.641515390000002</v>
      </c>
      <c r="AO7" s="500">
        <f t="shared" ca="1" si="1"/>
        <v>33.928519306197181</v>
      </c>
      <c r="AP7" s="504">
        <f t="shared" ca="1" si="1"/>
        <v>37.014141584641536</v>
      </c>
      <c r="AQ7" s="499">
        <f t="shared" si="1"/>
        <v>34.938574350000003</v>
      </c>
      <c r="AR7" s="500">
        <f t="shared" ca="1" si="1"/>
        <v>73.857938486190491</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 ca="1">C14+C17+C19</f>
        <v>1</v>
      </c>
      <c r="D8" s="505">
        <f>D14+D17+D19</f>
        <v>1</v>
      </c>
      <c r="E8" s="505"/>
      <c r="F8" s="50"/>
      <c r="G8" s="506" t="s">
        <v>868</v>
      </c>
      <c r="H8" s="507" t="s">
        <v>1164</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ca="1"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ca="1"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2289696.6631757636</v>
      </c>
      <c r="D9" s="487">
        <f>D12+D15</f>
        <v>2233204.23</v>
      </c>
      <c r="E9" s="518">
        <f ca="1">E12+E15</f>
        <v>2406309.280936162</v>
      </c>
      <c r="F9" s="418"/>
      <c r="G9" s="519" t="s">
        <v>1166</v>
      </c>
      <c r="H9" s="490" t="s">
        <v>837</v>
      </c>
      <c r="I9" s="295">
        <f t="shared" ref="I9:AR9" ca="1" si="3">I12+I15</f>
        <v>319223.2502769687</v>
      </c>
      <c r="J9" s="491">
        <f t="shared" si="3"/>
        <v>313370.34999999998</v>
      </c>
      <c r="K9" s="492">
        <f t="shared" ca="1" si="3"/>
        <v>334300.32423076924</v>
      </c>
      <c r="L9" s="295">
        <f t="shared" ca="1" si="3"/>
        <v>275778.28281242517</v>
      </c>
      <c r="M9" s="491">
        <f t="shared" si="3"/>
        <v>284679.14</v>
      </c>
      <c r="N9" s="492">
        <f t="shared" ca="1" si="3"/>
        <v>287440.44470219431</v>
      </c>
      <c r="O9" s="295">
        <f t="shared" ca="1" si="3"/>
        <v>237576.64622881124</v>
      </c>
      <c r="P9" s="491">
        <f t="shared" si="3"/>
        <v>306973.84999999998</v>
      </c>
      <c r="Q9" s="492">
        <f t="shared" ca="1" si="3"/>
        <v>272674.44474048441</v>
      </c>
      <c r="R9" s="295">
        <f t="shared" ca="1" si="3"/>
        <v>162667.91099851395</v>
      </c>
      <c r="S9" s="491">
        <f t="shared" si="3"/>
        <v>225191.69000000003</v>
      </c>
      <c r="T9" s="492">
        <f t="shared" ca="1" si="3"/>
        <v>217334.82293103449</v>
      </c>
      <c r="U9" s="295">
        <f t="shared" ca="1" si="3"/>
        <v>42145.235774829387</v>
      </c>
      <c r="V9" s="491">
        <f t="shared" si="3"/>
        <v>123894.39000000001</v>
      </c>
      <c r="W9" s="492">
        <f t="shared" ca="1" si="3"/>
        <v>90223.039550000001</v>
      </c>
      <c r="X9" s="295">
        <f t="shared" si="3"/>
        <v>23305.23050213675</v>
      </c>
      <c r="Y9" s="491">
        <f t="shared" si="3"/>
        <v>44542.899999999994</v>
      </c>
      <c r="Z9" s="492">
        <f t="shared" ca="1" si="3"/>
        <v>44542.899999999994</v>
      </c>
      <c r="AA9" s="295">
        <f t="shared" si="3"/>
        <v>23305.23050213675</v>
      </c>
      <c r="AB9" s="491">
        <f t="shared" si="3"/>
        <v>33238.54</v>
      </c>
      <c r="AC9" s="492">
        <f t="shared" ca="1" si="3"/>
        <v>33238.54</v>
      </c>
      <c r="AD9" s="295">
        <f t="shared" si="3"/>
        <v>18398.866185897434</v>
      </c>
      <c r="AE9" s="491">
        <f t="shared" si="3"/>
        <v>31226.550000000003</v>
      </c>
      <c r="AF9" s="492">
        <f t="shared" ca="1" si="3"/>
        <v>31226.550000000003</v>
      </c>
      <c r="AG9" s="295">
        <f t="shared" ca="1" si="3"/>
        <v>55432.103997679718</v>
      </c>
      <c r="AH9" s="491">
        <f t="shared" si="3"/>
        <v>121103.19</v>
      </c>
      <c r="AI9" s="492">
        <f t="shared" ca="1" si="3"/>
        <v>99346.222125</v>
      </c>
      <c r="AJ9" s="295">
        <f t="shared" ca="1" si="3"/>
        <v>178513.1454280164</v>
      </c>
      <c r="AK9" s="491">
        <f t="shared" si="3"/>
        <v>226494.25000000003</v>
      </c>
      <c r="AL9" s="492">
        <f t="shared" ca="1" si="3"/>
        <v>232005.23771929825</v>
      </c>
      <c r="AM9" s="295">
        <f t="shared" ca="1" si="3"/>
        <v>239159.06715893603</v>
      </c>
      <c r="AN9" s="491">
        <f t="shared" si="3"/>
        <v>239705.93</v>
      </c>
      <c r="AO9" s="492">
        <f t="shared" ca="1" si="3"/>
        <v>274559.62037558685</v>
      </c>
      <c r="AP9" s="496">
        <f t="shared" ca="1" si="3"/>
        <v>296640.14702960599</v>
      </c>
      <c r="AQ9" s="497">
        <f t="shared" si="3"/>
        <v>282783.45</v>
      </c>
      <c r="AR9" s="497">
        <f t="shared" ca="1" si="3"/>
        <v>599201.04460317479</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1969.1391303311566</v>
      </c>
      <c r="D10" s="521">
        <f>D9*0.86/1000</f>
        <v>1920.5556377999999</v>
      </c>
      <c r="E10" s="522">
        <f ca="1">E9*0.86/1000</f>
        <v>2069.4259816050994</v>
      </c>
      <c r="F10" s="50">
        <f>C10/'Ввод исходных данных'!$G$56</f>
        <v>0.26025814228349564</v>
      </c>
      <c r="G10" s="501" t="s">
        <v>868</v>
      </c>
      <c r="H10" s="502" t="s">
        <v>1167</v>
      </c>
      <c r="I10" s="523">
        <f t="shared" ref="I10:AR10" ca="1" si="4">I9*0.86/1000</f>
        <v>274.53199523819308</v>
      </c>
      <c r="J10" s="261">
        <f t="shared" si="4"/>
        <v>269.49850099999998</v>
      </c>
      <c r="K10" s="524">
        <f t="shared" ca="1" si="4"/>
        <v>287.49827883846154</v>
      </c>
      <c r="L10" s="523">
        <f t="shared" ca="1" si="4"/>
        <v>237.16932321868563</v>
      </c>
      <c r="M10" s="261">
        <f t="shared" si="4"/>
        <v>244.82406040000001</v>
      </c>
      <c r="N10" s="524">
        <f t="shared" ca="1" si="4"/>
        <v>247.1987824438871</v>
      </c>
      <c r="O10" s="523">
        <f t="shared" ca="1" si="4"/>
        <v>204.31591575677766</v>
      </c>
      <c r="P10" s="261">
        <f t="shared" si="4"/>
        <v>263.99751099999997</v>
      </c>
      <c r="Q10" s="524">
        <f t="shared" ca="1" si="4"/>
        <v>234.50002247681658</v>
      </c>
      <c r="R10" s="523">
        <f t="shared" ca="1" si="4"/>
        <v>139.894403458722</v>
      </c>
      <c r="S10" s="261">
        <f t="shared" si="4"/>
        <v>193.66485340000003</v>
      </c>
      <c r="T10" s="524">
        <f t="shared" ca="1" si="4"/>
        <v>186.90794772068966</v>
      </c>
      <c r="U10" s="523">
        <f t="shared" ca="1" si="4"/>
        <v>36.24490276635327</v>
      </c>
      <c r="V10" s="261">
        <f t="shared" si="4"/>
        <v>106.54917540000001</v>
      </c>
      <c r="W10" s="524">
        <f t="shared" ca="1" si="4"/>
        <v>77.59181401299999</v>
      </c>
      <c r="X10" s="523">
        <f t="shared" si="4"/>
        <v>20.042498231837605</v>
      </c>
      <c r="Y10" s="261">
        <f t="shared" si="4"/>
        <v>38.306893999999993</v>
      </c>
      <c r="Z10" s="524">
        <f t="shared" ca="1" si="4"/>
        <v>38.306893999999993</v>
      </c>
      <c r="AA10" s="523">
        <f t="shared" si="4"/>
        <v>20.042498231837605</v>
      </c>
      <c r="AB10" s="261">
        <f t="shared" si="4"/>
        <v>28.585144400000001</v>
      </c>
      <c r="AC10" s="524">
        <f t="shared" ca="1" si="4"/>
        <v>28.585144400000001</v>
      </c>
      <c r="AD10" s="523">
        <f t="shared" si="4"/>
        <v>15.823024919871791</v>
      </c>
      <c r="AE10" s="261">
        <f t="shared" si="4"/>
        <v>26.854833000000003</v>
      </c>
      <c r="AF10" s="524">
        <f t="shared" ca="1" si="4"/>
        <v>26.854833000000003</v>
      </c>
      <c r="AG10" s="523">
        <f t="shared" ca="1" si="4"/>
        <v>47.671609438004552</v>
      </c>
      <c r="AH10" s="261">
        <f t="shared" si="4"/>
        <v>104.1487434</v>
      </c>
      <c r="AI10" s="524">
        <f t="shared" ca="1" si="4"/>
        <v>85.437751027499999</v>
      </c>
      <c r="AJ10" s="523">
        <f t="shared" ca="1" si="4"/>
        <v>153.52130506809411</v>
      </c>
      <c r="AK10" s="261">
        <f t="shared" si="4"/>
        <v>194.78505500000003</v>
      </c>
      <c r="AL10" s="524">
        <f t="shared" ca="1" si="4"/>
        <v>199.52450443859649</v>
      </c>
      <c r="AM10" s="523">
        <f t="shared" ca="1" si="4"/>
        <v>205.67679775668498</v>
      </c>
      <c r="AN10" s="261">
        <f t="shared" si="4"/>
        <v>206.14709980000001</v>
      </c>
      <c r="AO10" s="524">
        <f t="shared" ca="1" si="4"/>
        <v>236.1212735230047</v>
      </c>
      <c r="AP10" s="525">
        <f t="shared" ca="1" si="4"/>
        <v>255.11052644546115</v>
      </c>
      <c r="AQ10" s="261">
        <f t="shared" si="4"/>
        <v>243.19376699999998</v>
      </c>
      <c r="AR10" s="261">
        <f t="shared" ca="1" si="4"/>
        <v>515.31289835873031</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 ca="1">C9/$C$6</f>
        <v>0.97802191853376796</v>
      </c>
      <c r="D11" s="527">
        <f>D9/$D$6</f>
        <v>0.99252628941918442</v>
      </c>
      <c r="E11" s="528"/>
      <c r="F11" s="50">
        <f ca="1">E10/'Ввод исходных данных'!$G$56</f>
        <v>0.27351290382166499</v>
      </c>
      <c r="G11" s="501"/>
      <c r="H11" s="502"/>
      <c r="I11" s="529">
        <f t="shared" ref="I11:AR11" ca="1" si="5">I9/I$6</f>
        <v>0.98674594611880939</v>
      </c>
      <c r="J11" s="515">
        <f t="shared" si="5"/>
        <v>0.99330548919773165</v>
      </c>
      <c r="K11" s="530">
        <f t="shared" ca="1" si="5"/>
        <v>0.99372198980869908</v>
      </c>
      <c r="L11" s="529">
        <f t="shared" ca="1" si="5"/>
        <v>0.98468992467799377</v>
      </c>
      <c r="M11" s="515">
        <f t="shared" si="5"/>
        <v>0.99301663164866727</v>
      </c>
      <c r="N11" s="530">
        <f t="shared" ca="1" si="5"/>
        <v>0.99308325355647187</v>
      </c>
      <c r="O11" s="529">
        <f t="shared" ca="1" si="5"/>
        <v>0.98227175259014576</v>
      </c>
      <c r="P11" s="515">
        <f t="shared" si="5"/>
        <v>0.99459890030759057</v>
      </c>
      <c r="Q11" s="530">
        <f t="shared" ca="1" si="5"/>
        <v>0.99392363045409737</v>
      </c>
      <c r="R11" s="529">
        <f t="shared" ca="1" si="5"/>
        <v>0.97431754534416803</v>
      </c>
      <c r="S11" s="515">
        <f t="shared" si="5"/>
        <v>0.99368115486955488</v>
      </c>
      <c r="T11" s="530">
        <f t="shared" ca="1" si="5"/>
        <v>0.99345421768797437</v>
      </c>
      <c r="U11" s="529">
        <f t="shared" ca="1" si="5"/>
        <v>0.90765561235366299</v>
      </c>
      <c r="V11" s="515">
        <f t="shared" si="5"/>
        <v>0.98982171137617092</v>
      </c>
      <c r="W11" s="530">
        <f t="shared" ca="1" si="5"/>
        <v>0.98607605222785588</v>
      </c>
      <c r="X11" s="529">
        <f t="shared" si="5"/>
        <v>0.84460466735769113</v>
      </c>
      <c r="Y11" s="515">
        <f t="shared" si="5"/>
        <v>0.97238467600566714</v>
      </c>
      <c r="Z11" s="530">
        <f t="shared" ca="1" si="5"/>
        <v>0.97238467600566714</v>
      </c>
      <c r="AA11" s="529">
        <f t="shared" si="5"/>
        <v>0.84460466735769113</v>
      </c>
      <c r="AB11" s="515">
        <f t="shared" si="5"/>
        <v>0.96675541584233871</v>
      </c>
      <c r="AC11" s="530">
        <f t="shared" ca="1" si="5"/>
        <v>0.96675541584233871</v>
      </c>
      <c r="AD11" s="529">
        <f t="shared" si="5"/>
        <v>0.8109979228270433</v>
      </c>
      <c r="AE11" s="515">
        <f t="shared" si="5"/>
        <v>0.96504679742440325</v>
      </c>
      <c r="AF11" s="530">
        <f t="shared" ca="1" si="5"/>
        <v>0.96504679742440325</v>
      </c>
      <c r="AG11" s="529">
        <f t="shared" ca="1" si="5"/>
        <v>0.92820097399689283</v>
      </c>
      <c r="AH11" s="515">
        <f t="shared" si="5"/>
        <v>0.99086075713022537</v>
      </c>
      <c r="AI11" s="530">
        <f t="shared" ca="1" si="5"/>
        <v>0.9888815033365127</v>
      </c>
      <c r="AJ11" s="529">
        <f t="shared" ca="1" si="5"/>
        <v>0.97654370691892634</v>
      </c>
      <c r="AK11" s="515">
        <f t="shared" si="5"/>
        <v>0.99507502243369017</v>
      </c>
      <c r="AL11" s="530">
        <f t="shared" ca="1" si="5"/>
        <v>0.99519144644134927</v>
      </c>
      <c r="AM11" s="529">
        <f t="shared" ca="1" si="5"/>
        <v>0.98238698736906083</v>
      </c>
      <c r="AN11" s="515">
        <f t="shared" si="5"/>
        <v>0.9946802314954114</v>
      </c>
      <c r="AO11" s="530">
        <f t="shared" ca="1" si="5"/>
        <v>0.99535240549176585</v>
      </c>
      <c r="AP11" s="514">
        <f t="shared" ca="1" si="5"/>
        <v>0.98575129727663779</v>
      </c>
      <c r="AQ11" s="515">
        <f t="shared" si="5"/>
        <v>0.99552901047320497</v>
      </c>
      <c r="AR11" s="515">
        <f t="shared" ca="1" si="5"/>
        <v>0.99788499377045015</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1412597.0689233383</v>
      </c>
      <c r="D12" s="534">
        <f>D35</f>
        <v>1483592.58</v>
      </c>
      <c r="E12" s="535">
        <f ca="1">E35</f>
        <v>1656697.6309361618</v>
      </c>
      <c r="F12" s="50"/>
      <c r="G12" s="536" t="s">
        <v>1168</v>
      </c>
      <c r="H12" s="537" t="s">
        <v>837</v>
      </c>
      <c r="I12" s="538">
        <f t="shared" ref="I12:AR12" ca="1" si="6">I35</f>
        <v>267585.28015852405</v>
      </c>
      <c r="J12" s="273">
        <f t="shared" si="6"/>
        <v>241857.48</v>
      </c>
      <c r="K12" s="539">
        <f t="shared" ca="1" si="6"/>
        <v>262787.45423076925</v>
      </c>
      <c r="L12" s="540">
        <f t="shared" ca="1" si="6"/>
        <v>229137.5356086687</v>
      </c>
      <c r="M12" s="273">
        <f t="shared" si="6"/>
        <v>220214.05</v>
      </c>
      <c r="N12" s="539">
        <f t="shared" ca="1" si="6"/>
        <v>222975.35470219431</v>
      </c>
      <c r="O12" s="540">
        <f t="shared" ca="1" si="6"/>
        <v>185938.67611036659</v>
      </c>
      <c r="P12" s="273">
        <f t="shared" si="6"/>
        <v>225284.73</v>
      </c>
      <c r="Q12" s="539">
        <f t="shared" ca="1" si="6"/>
        <v>190985.32474048442</v>
      </c>
      <c r="R12" s="540">
        <f t="shared" ca="1" si="6"/>
        <v>112695.68185163202</v>
      </c>
      <c r="S12" s="273">
        <f t="shared" si="6"/>
        <v>151899.43000000002</v>
      </c>
      <c r="T12" s="539">
        <f t="shared" ca="1" si="6"/>
        <v>144042.56293103448</v>
      </c>
      <c r="U12" s="538">
        <f t="shared" ca="1" si="6"/>
        <v>4120.9123239746914</v>
      </c>
      <c r="V12" s="273">
        <f t="shared" si="6"/>
        <v>50974.29</v>
      </c>
      <c r="W12" s="539">
        <f t="shared" ca="1" si="6"/>
        <v>17302.939549999999</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ca="1" si="6"/>
        <v>10457.097765485993</v>
      </c>
      <c r="AH12" s="273">
        <f t="shared" si="6"/>
        <v>50450.94</v>
      </c>
      <c r="AI12" s="539">
        <f t="shared" ca="1" si="6"/>
        <v>28693.972125</v>
      </c>
      <c r="AJ12" s="538">
        <f t="shared" ca="1" si="6"/>
        <v>126875.17530957176</v>
      </c>
      <c r="AK12" s="273">
        <f t="shared" si="6"/>
        <v>157063.15000000002</v>
      </c>
      <c r="AL12" s="539">
        <f t="shared" ca="1" si="6"/>
        <v>162574.13771929825</v>
      </c>
      <c r="AM12" s="540">
        <f t="shared" ca="1" si="6"/>
        <v>189186.8380120541</v>
      </c>
      <c r="AN12" s="273">
        <f t="shared" si="6"/>
        <v>172647.34999999998</v>
      </c>
      <c r="AO12" s="539">
        <f t="shared" ca="1" si="6"/>
        <v>207501.04037558683</v>
      </c>
      <c r="AP12" s="541">
        <f t="shared" ca="1" si="6"/>
        <v>245002.17691116131</v>
      </c>
      <c r="AQ12" s="273">
        <f t="shared" si="6"/>
        <v>213201.16</v>
      </c>
      <c r="AR12" s="273">
        <f t="shared" ca="1" si="6"/>
        <v>529618.75460317475</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1214.8334792740709</v>
      </c>
      <c r="D13" s="521">
        <f>D36</f>
        <v>1275.6600000000001</v>
      </c>
      <c r="E13" s="522">
        <f ca="1">E36</f>
        <v>1424.7599626050992</v>
      </c>
      <c r="F13" s="50">
        <f>C13/'Ввод исходных данных'!$G$56</f>
        <v>0.16056270460000144</v>
      </c>
      <c r="G13" s="501" t="s">
        <v>868</v>
      </c>
      <c r="H13" s="502" t="s">
        <v>1167</v>
      </c>
      <c r="I13" s="523">
        <f ca="1">I12*0.86/1000</f>
        <v>230.12334093633066</v>
      </c>
      <c r="J13" s="261">
        <f>J36</f>
        <v>207.96</v>
      </c>
      <c r="K13" s="524">
        <f ca="1">K36</f>
        <v>225.95653846153846</v>
      </c>
      <c r="L13" s="523">
        <f ca="1">L12*0.86/1000</f>
        <v>197.05828062345506</v>
      </c>
      <c r="M13" s="261">
        <f>M36</f>
        <v>189.35</v>
      </c>
      <c r="N13" s="524">
        <f ca="1">N36</f>
        <v>191.72429467084635</v>
      </c>
      <c r="O13" s="523">
        <f ca="1">O12*0.86/1000</f>
        <v>159.90726145491527</v>
      </c>
      <c r="P13" s="261">
        <f>P36</f>
        <v>193.71</v>
      </c>
      <c r="Q13" s="524">
        <f ca="1">Q36</f>
        <v>164.21782006920415</v>
      </c>
      <c r="R13" s="523">
        <f ca="1">R12*0.86/1000</f>
        <v>96.91828639240353</v>
      </c>
      <c r="S13" s="261">
        <f>S36</f>
        <v>130.61000000000001</v>
      </c>
      <c r="T13" s="524">
        <f ca="1">T36</f>
        <v>123.8543103448276</v>
      </c>
      <c r="U13" s="523">
        <f ca="1">U12*0.86/1000</f>
        <v>3.5439845986182346</v>
      </c>
      <c r="V13" s="261">
        <f>V36</f>
        <v>43.83</v>
      </c>
      <c r="W13" s="524">
        <f ca="1">W36</f>
        <v>14.877849999999999</v>
      </c>
      <c r="X13" s="523">
        <f>X12*0.86/1000</f>
        <v>0</v>
      </c>
      <c r="Y13" s="261">
        <f>Y36</f>
        <v>0</v>
      </c>
      <c r="Z13" s="524">
        <f ca="1">Z36</f>
        <v>0</v>
      </c>
      <c r="AA13" s="523">
        <f>AA12*0.86/1000</f>
        <v>0</v>
      </c>
      <c r="AB13" s="261">
        <f>AB36</f>
        <v>0</v>
      </c>
      <c r="AC13" s="524">
        <f ca="1">AC36</f>
        <v>0</v>
      </c>
      <c r="AD13" s="523">
        <f>AD12*0.86/1000</f>
        <v>0</v>
      </c>
      <c r="AE13" s="261">
        <f>AE36</f>
        <v>0</v>
      </c>
      <c r="AF13" s="524">
        <f ca="1">AF36</f>
        <v>0</v>
      </c>
      <c r="AG13" s="523">
        <f ca="1">AG12*0.86/1000</f>
        <v>8.9931040783179537</v>
      </c>
      <c r="AH13" s="261">
        <f>AH36</f>
        <v>43.38</v>
      </c>
      <c r="AI13" s="524">
        <f ca="1">AI36</f>
        <v>24.672374999999999</v>
      </c>
      <c r="AJ13" s="523">
        <f ca="1">AJ12*0.86/1000</f>
        <v>109.11265076623171</v>
      </c>
      <c r="AK13" s="261">
        <f>AK36</f>
        <v>135.05000000000001</v>
      </c>
      <c r="AL13" s="524">
        <f ca="1">AL36</f>
        <v>139.78859649122808</v>
      </c>
      <c r="AM13" s="523">
        <f ca="1">AM12*0.86/1000</f>
        <v>162.70068069036651</v>
      </c>
      <c r="AN13" s="261">
        <f>AN36</f>
        <v>148.44999999999999</v>
      </c>
      <c r="AO13" s="524">
        <f ca="1">AO36</f>
        <v>178.41877934272298</v>
      </c>
      <c r="AP13" s="525">
        <f ca="1">AP12*0.86/1000</f>
        <v>210.70187214359871</v>
      </c>
      <c r="AQ13" s="261">
        <f>AQ36</f>
        <v>183.32</v>
      </c>
      <c r="AR13" s="261">
        <f ca="1">AR36</f>
        <v>455.39015873015882</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 ca="1">C12/$C$6</f>
        <v>0.60337725851746538</v>
      </c>
      <c r="D14" s="527">
        <f>D12/$D$6</f>
        <v>0.65936855154408991</v>
      </c>
      <c r="E14" s="528"/>
      <c r="F14" s="50">
        <f ca="1">E13/'Ввод исходных данных'!$G$56</f>
        <v>0.18830837057468169</v>
      </c>
      <c r="G14" s="501"/>
      <c r="H14" s="502"/>
      <c r="I14" s="529">
        <f t="shared" ref="I14:AR14" ca="1" si="7">I12/I$6</f>
        <v>0.82712863241759726</v>
      </c>
      <c r="J14" s="515">
        <f t="shared" si="7"/>
        <v>0.76662761007073776</v>
      </c>
      <c r="K14" s="530">
        <f t="shared" ca="1" si="7"/>
        <v>0.78114692983276246</v>
      </c>
      <c r="L14" s="529">
        <f t="shared" ca="1" si="7"/>
        <v>0.81815515122656124</v>
      </c>
      <c r="M14" s="515">
        <f t="shared" si="7"/>
        <v>0.76814976388052592</v>
      </c>
      <c r="N14" s="530">
        <f t="shared" ca="1" si="7"/>
        <v>0.7703616341812356</v>
      </c>
      <c r="O14" s="529">
        <f t="shared" ca="1" si="7"/>
        <v>0.76877215061499582</v>
      </c>
      <c r="P14" s="515">
        <f t="shared" si="7"/>
        <v>0.72992518650723004</v>
      </c>
      <c r="Q14" s="530">
        <f t="shared" ca="1" si="7"/>
        <v>0.69615921473749098</v>
      </c>
      <c r="R14" s="529">
        <f t="shared" ca="1" si="7"/>
        <v>0.67500332080598557</v>
      </c>
      <c r="S14" s="515">
        <f t="shared" si="7"/>
        <v>0.67027162959000453</v>
      </c>
      <c r="T14" s="530">
        <f t="shared" ca="1" si="7"/>
        <v>0.65842965126592079</v>
      </c>
      <c r="U14" s="529">
        <f t="shared" ca="1" si="7"/>
        <v>8.8749514152840131E-2</v>
      </c>
      <c r="V14" s="515">
        <f t="shared" si="7"/>
        <v>0.40724571115758534</v>
      </c>
      <c r="W14" s="530">
        <f t="shared" ca="1" si="7"/>
        <v>0.18910928304455724</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ca="1" si="7"/>
        <v>0.17510228966793534</v>
      </c>
      <c r="AH14" s="515">
        <f t="shared" si="7"/>
        <v>0.41278728170852952</v>
      </c>
      <c r="AI14" s="530">
        <f t="shared" ca="1" si="7"/>
        <v>0.2856166815881927</v>
      </c>
      <c r="AJ14" s="529">
        <f t="shared" ca="1" si="7"/>
        <v>0.69406179424897818</v>
      </c>
      <c r="AK14" s="515">
        <f t="shared" si="7"/>
        <v>0.69003790387506991</v>
      </c>
      <c r="AL14" s="530">
        <f t="shared" ca="1" si="7"/>
        <v>0.69736525287664053</v>
      </c>
      <c r="AM14" s="529">
        <f t="shared" ca="1" si="7"/>
        <v>0.77711746434028517</v>
      </c>
      <c r="AN14" s="515">
        <f t="shared" si="7"/>
        <v>0.7164149258429664</v>
      </c>
      <c r="AO14" s="530">
        <f t="shared" ca="1" si="7"/>
        <v>0.75224703252921998</v>
      </c>
      <c r="AP14" s="514">
        <f t="shared" ca="1" si="7"/>
        <v>0.81415552191481921</v>
      </c>
      <c r="AQ14" s="515">
        <f t="shared" si="7"/>
        <v>0.75056704996894064</v>
      </c>
      <c r="AR14" s="515">
        <f t="shared" ca="1" si="7"/>
        <v>0.88200548446624394</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877099.59425242513</v>
      </c>
      <c r="D15" s="543">
        <f>D85</f>
        <v>749611.64999999991</v>
      </c>
      <c r="E15" s="544">
        <f>D85</f>
        <v>749611.64999999991</v>
      </c>
      <c r="F15" s="50">
        <f ca="1">E13/C13-1</f>
        <v>0.17280268194161952</v>
      </c>
      <c r="G15" s="536" t="s">
        <v>982</v>
      </c>
      <c r="H15" s="537" t="s">
        <v>837</v>
      </c>
      <c r="I15" s="538">
        <f>I85</f>
        <v>51637.970118444653</v>
      </c>
      <c r="J15" s="273">
        <f>J85</f>
        <v>71512.87</v>
      </c>
      <c r="K15" s="545">
        <f>J15</f>
        <v>71512.87</v>
      </c>
      <c r="L15" s="538">
        <f>K85</f>
        <v>46640.747203756466</v>
      </c>
      <c r="M15" s="273">
        <f>L85</f>
        <v>64465.09</v>
      </c>
      <c r="N15" s="546">
        <f>M15</f>
        <v>64465.09</v>
      </c>
      <c r="O15" s="540">
        <f>M85</f>
        <v>51637.970118444653</v>
      </c>
      <c r="P15" s="274">
        <f>N85</f>
        <v>81689.119999999995</v>
      </c>
      <c r="Q15" s="545">
        <f>P15</f>
        <v>81689.119999999995</v>
      </c>
      <c r="R15" s="540">
        <f>O85</f>
        <v>49972.229146881924</v>
      </c>
      <c r="S15" s="274">
        <f>P85</f>
        <v>73292.260000000009</v>
      </c>
      <c r="T15" s="539">
        <f>S15</f>
        <v>73292.260000000009</v>
      </c>
      <c r="U15" s="538">
        <f>Q85</f>
        <v>38024.323450854696</v>
      </c>
      <c r="V15" s="273">
        <f>R85</f>
        <v>72920.100000000006</v>
      </c>
      <c r="W15" s="545">
        <f>V15</f>
        <v>72920.100000000006</v>
      </c>
      <c r="X15" s="538">
        <f>S85</f>
        <v>23305.23050213675</v>
      </c>
      <c r="Y15" s="273">
        <f>T85</f>
        <v>44542.899999999994</v>
      </c>
      <c r="Z15" s="545">
        <f>Y15</f>
        <v>44542.899999999994</v>
      </c>
      <c r="AA15" s="538">
        <f>U85</f>
        <v>23305.23050213675</v>
      </c>
      <c r="AB15" s="273">
        <f>V85</f>
        <v>33238.54</v>
      </c>
      <c r="AC15" s="545">
        <f>AB15</f>
        <v>33238.54</v>
      </c>
      <c r="AD15" s="538">
        <f>W85</f>
        <v>18398.866185897434</v>
      </c>
      <c r="AE15" s="273">
        <f>X85</f>
        <v>31226.550000000003</v>
      </c>
      <c r="AF15" s="539">
        <f>AE15</f>
        <v>31226.550000000003</v>
      </c>
      <c r="AG15" s="540">
        <f>Y85</f>
        <v>44975.006232193729</v>
      </c>
      <c r="AH15" s="274">
        <f>Z85</f>
        <v>70652.25</v>
      </c>
      <c r="AI15" s="545">
        <f>AH15</f>
        <v>70652.25</v>
      </c>
      <c r="AJ15" s="540">
        <f>AA85</f>
        <v>51637.970118444653</v>
      </c>
      <c r="AK15" s="274">
        <f>AB85</f>
        <v>69431.100000000006</v>
      </c>
      <c r="AL15" s="545">
        <f>AK15</f>
        <v>69431.100000000006</v>
      </c>
      <c r="AM15" s="540">
        <f>AC85</f>
        <v>49972.229146881924</v>
      </c>
      <c r="AN15" s="274">
        <f>AD85</f>
        <v>67058.58</v>
      </c>
      <c r="AO15" s="545">
        <f>AN15</f>
        <v>67058.58</v>
      </c>
      <c r="AP15" s="547">
        <f>AE85</f>
        <v>51637.970118444653</v>
      </c>
      <c r="AQ15" s="273">
        <f>AF85</f>
        <v>69582.289999999994</v>
      </c>
      <c r="AR15" s="274">
        <f>AQ15</f>
        <v>69582.289999999994</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754.30565105708558</v>
      </c>
      <c r="D16" s="626">
        <f>D86</f>
        <v>644.54999999999995</v>
      </c>
      <c r="E16" s="1230">
        <f>D86</f>
        <v>644.54999999999995</v>
      </c>
      <c r="F16" s="50"/>
      <c r="G16" s="501" t="s">
        <v>868</v>
      </c>
      <c r="H16" s="502" t="s">
        <v>1167</v>
      </c>
      <c r="I16" s="523">
        <f>I15*0.86/1000</f>
        <v>44.408654301862398</v>
      </c>
      <c r="J16" s="71">
        <f>J86</f>
        <v>61.49</v>
      </c>
      <c r="K16" s="548">
        <f>J16</f>
        <v>61.49</v>
      </c>
      <c r="L16" s="523">
        <f>L15*0.86/1000</f>
        <v>40.111042595230558</v>
      </c>
      <c r="M16" s="71">
        <f>L86</f>
        <v>55.43</v>
      </c>
      <c r="N16" s="549">
        <f>M16</f>
        <v>55.43</v>
      </c>
      <c r="O16" s="523">
        <f>O15*0.86/1000</f>
        <v>44.408654301862398</v>
      </c>
      <c r="P16" s="71">
        <f>N86</f>
        <v>70.239999999999995</v>
      </c>
      <c r="Q16" s="548">
        <f>P16</f>
        <v>70.239999999999995</v>
      </c>
      <c r="R16" s="523">
        <f>R15*0.86/1000</f>
        <v>42.976117066318452</v>
      </c>
      <c r="S16" s="71">
        <f>P86</f>
        <v>63.02</v>
      </c>
      <c r="T16" s="548">
        <f>S16</f>
        <v>63.02</v>
      </c>
      <c r="U16" s="523">
        <f>U15*0.86/1000</f>
        <v>32.70091816773504</v>
      </c>
      <c r="V16" s="71">
        <f>R86</f>
        <v>62.7</v>
      </c>
      <c r="W16" s="548">
        <f>V16</f>
        <v>62.7</v>
      </c>
      <c r="X16" s="523">
        <f>X15*0.86/1000</f>
        <v>20.042498231837605</v>
      </c>
      <c r="Y16" s="71">
        <f>T86</f>
        <v>38.299999999999997</v>
      </c>
      <c r="Z16" s="548">
        <f>Y16</f>
        <v>38.299999999999997</v>
      </c>
      <c r="AA16" s="523">
        <f>AA15*0.86/1000</f>
        <v>20.042498231837605</v>
      </c>
      <c r="AB16" s="71">
        <f>V86</f>
        <v>28.58</v>
      </c>
      <c r="AC16" s="548">
        <f>AB16</f>
        <v>28.58</v>
      </c>
      <c r="AD16" s="523">
        <f>AD15*0.86/1000</f>
        <v>15.823024919871791</v>
      </c>
      <c r="AE16" s="71">
        <f>X86</f>
        <v>26.85</v>
      </c>
      <c r="AF16" s="548">
        <f>AE16</f>
        <v>26.85</v>
      </c>
      <c r="AG16" s="523">
        <f>AG15*0.86/1000</f>
        <v>38.678505359686604</v>
      </c>
      <c r="AH16" s="71">
        <f>Z86</f>
        <v>60.75</v>
      </c>
      <c r="AI16" s="548">
        <f>AH16</f>
        <v>60.75</v>
      </c>
      <c r="AJ16" s="523">
        <f>AJ15*0.86/1000</f>
        <v>44.408654301862398</v>
      </c>
      <c r="AK16" s="71">
        <f>AB86</f>
        <v>59.7</v>
      </c>
      <c r="AL16" s="548">
        <f>AK16</f>
        <v>59.7</v>
      </c>
      <c r="AM16" s="523">
        <f>AM15*0.86/1000</f>
        <v>42.976117066318452</v>
      </c>
      <c r="AN16" s="71">
        <f>AD86</f>
        <v>57.66</v>
      </c>
      <c r="AO16" s="548">
        <f>AN16</f>
        <v>57.66</v>
      </c>
      <c r="AP16" s="525">
        <f>AP15*0.86/1000</f>
        <v>44.408654301862398</v>
      </c>
      <c r="AQ16" s="71">
        <f>AF86</f>
        <v>59.83</v>
      </c>
      <c r="AR16" s="71">
        <f>AQ16</f>
        <v>59.83</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 ca="1">C15/$C$6</f>
        <v>0.37464466001630253</v>
      </c>
      <c r="D17" s="551">
        <f>D15/$D$6</f>
        <v>0.33315773787509451</v>
      </c>
      <c r="E17" s="552"/>
      <c r="F17" s="50"/>
      <c r="G17" s="506"/>
      <c r="H17" s="507"/>
      <c r="I17" s="508">
        <f t="shared" ref="I17:AR17" ca="1" si="8">I15/I$6</f>
        <v>0.15961731370121215</v>
      </c>
      <c r="J17" s="509">
        <f t="shared" si="8"/>
        <v>0.22667787912699394</v>
      </c>
      <c r="K17" s="510">
        <f t="shared" ca="1" si="8"/>
        <v>0.21257505997593659</v>
      </c>
      <c r="L17" s="508">
        <f t="shared" ca="1" si="8"/>
        <v>0.16653477345143247</v>
      </c>
      <c r="M17" s="509">
        <f t="shared" si="8"/>
        <v>0.22486686776814127</v>
      </c>
      <c r="N17" s="553">
        <f t="shared" ca="1" si="8"/>
        <v>0.2227216193752363</v>
      </c>
      <c r="O17" s="508">
        <f t="shared" ca="1" si="8"/>
        <v>0.21349960197514992</v>
      </c>
      <c r="P17" s="509">
        <f t="shared" si="8"/>
        <v>0.26467371380036053</v>
      </c>
      <c r="Q17" s="510">
        <f t="shared" ca="1" si="8"/>
        <v>0.29776441571660639</v>
      </c>
      <c r="R17" s="508">
        <f t="shared" ca="1" si="8"/>
        <v>0.29931422453818246</v>
      </c>
      <c r="S17" s="509">
        <f t="shared" si="8"/>
        <v>0.32340952527955041</v>
      </c>
      <c r="T17" s="510">
        <f t="shared" ca="1" si="8"/>
        <v>0.33502456642205364</v>
      </c>
      <c r="U17" s="508">
        <f t="shared" ca="1" si="8"/>
        <v>0.81890609820082283</v>
      </c>
      <c r="V17" s="509">
        <f t="shared" si="8"/>
        <v>0.58257600021858547</v>
      </c>
      <c r="W17" s="510">
        <f t="shared" ca="1" si="8"/>
        <v>0.79696676918329867</v>
      </c>
      <c r="X17" s="508">
        <f t="shared" si="8"/>
        <v>0.84460466735769113</v>
      </c>
      <c r="Y17" s="509">
        <f t="shared" si="8"/>
        <v>0.97238467600566714</v>
      </c>
      <c r="Z17" s="510">
        <f t="shared" ca="1" si="8"/>
        <v>0.97238467600566714</v>
      </c>
      <c r="AA17" s="508">
        <f t="shared" si="8"/>
        <v>0.84460466735769113</v>
      </c>
      <c r="AB17" s="509">
        <f t="shared" si="8"/>
        <v>0.96675541584233871</v>
      </c>
      <c r="AC17" s="510">
        <f t="shared" ca="1" si="8"/>
        <v>0.96675541584233871</v>
      </c>
      <c r="AD17" s="508">
        <f t="shared" si="8"/>
        <v>0.8109979228270433</v>
      </c>
      <c r="AE17" s="509">
        <f t="shared" si="8"/>
        <v>0.96504679742440325</v>
      </c>
      <c r="AF17" s="510">
        <f t="shared" ca="1" si="8"/>
        <v>0.96504679742440325</v>
      </c>
      <c r="AG17" s="508">
        <f t="shared" ca="1" si="8"/>
        <v>0.75309868432895755</v>
      </c>
      <c r="AH17" s="509">
        <f t="shared" si="8"/>
        <v>0.57807347542169585</v>
      </c>
      <c r="AI17" s="510">
        <f t="shared" ca="1" si="8"/>
        <v>0.70326482174831995</v>
      </c>
      <c r="AJ17" s="508">
        <f t="shared" ca="1" si="8"/>
        <v>0.28248191266994821</v>
      </c>
      <c r="AK17" s="509">
        <f t="shared" si="8"/>
        <v>0.30503711855862031</v>
      </c>
      <c r="AL17" s="510">
        <f t="shared" ca="1" si="8"/>
        <v>0.29782619356470863</v>
      </c>
      <c r="AM17" s="508">
        <f t="shared" ca="1" si="8"/>
        <v>0.20526952302877557</v>
      </c>
      <c r="AN17" s="509">
        <f t="shared" si="8"/>
        <v>0.27826530565244495</v>
      </c>
      <c r="AO17" s="510">
        <f t="shared" ca="1" si="8"/>
        <v>0.24310537296254575</v>
      </c>
      <c r="AP17" s="511">
        <f t="shared" ca="1" si="8"/>
        <v>0.17159577536181847</v>
      </c>
      <c r="AQ17" s="512">
        <f t="shared" si="8"/>
        <v>0.24496196050426422</v>
      </c>
      <c r="AR17" s="512">
        <f t="shared" ca="1" si="8"/>
        <v>0.11587950930420618</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 ca="1">C100</f>
        <v>51454</v>
      </c>
      <c r="D18" s="556">
        <f>D100</f>
        <v>16816</v>
      </c>
      <c r="E18" s="557">
        <f>D100</f>
        <v>16816</v>
      </c>
      <c r="F18" s="50"/>
      <c r="G18" s="489" t="s">
        <v>1169</v>
      </c>
      <c r="H18" s="490" t="s">
        <v>837</v>
      </c>
      <c r="I18" s="295">
        <f>I100</f>
        <v>4287.8333333333339</v>
      </c>
      <c r="J18" s="558">
        <f>J100</f>
        <v>2111.9999999999995</v>
      </c>
      <c r="K18" s="559">
        <f>J18</f>
        <v>2111.9999999999995</v>
      </c>
      <c r="L18" s="295">
        <f>K100</f>
        <v>4287.8333333333339</v>
      </c>
      <c r="M18" s="558">
        <f>L100</f>
        <v>2001.9999999999998</v>
      </c>
      <c r="N18" s="559">
        <f>M18</f>
        <v>2001.9999999999998</v>
      </c>
      <c r="O18" s="295">
        <f>M100</f>
        <v>4287.8333333333339</v>
      </c>
      <c r="P18" s="558">
        <f>N100</f>
        <v>1666.9999999999998</v>
      </c>
      <c r="Q18" s="559">
        <f>P18</f>
        <v>1666.9999999999998</v>
      </c>
      <c r="R18" s="295">
        <f>O100</f>
        <v>4287.8333333333339</v>
      </c>
      <c r="S18" s="558">
        <f>P100</f>
        <v>1432</v>
      </c>
      <c r="T18" s="559">
        <f>S18</f>
        <v>1432</v>
      </c>
      <c r="U18" s="295">
        <f>Q100</f>
        <v>4287.8333333333339</v>
      </c>
      <c r="V18" s="558">
        <f>R100</f>
        <v>1274</v>
      </c>
      <c r="W18" s="559">
        <f>V18</f>
        <v>1274</v>
      </c>
      <c r="X18" s="295">
        <f>S100</f>
        <v>4287.8333333333339</v>
      </c>
      <c r="Y18" s="558">
        <f>T100</f>
        <v>1265</v>
      </c>
      <c r="Z18" s="559">
        <f>Y18</f>
        <v>1265</v>
      </c>
      <c r="AA18" s="295">
        <f>U100</f>
        <v>4287.8333333333339</v>
      </c>
      <c r="AB18" s="558">
        <f>V100</f>
        <v>1142.9999999999998</v>
      </c>
      <c r="AC18" s="559">
        <f>AB18</f>
        <v>1142.9999999999998</v>
      </c>
      <c r="AD18" s="295">
        <f>W100</f>
        <v>4287.8333333333339</v>
      </c>
      <c r="AE18" s="558">
        <f>X100</f>
        <v>1130.9999999999998</v>
      </c>
      <c r="AF18" s="559">
        <f>AE18</f>
        <v>1130.9999999999998</v>
      </c>
      <c r="AG18" s="295">
        <f>Y100</f>
        <v>4287.8333333333339</v>
      </c>
      <c r="AH18" s="558">
        <f>Z100</f>
        <v>1117</v>
      </c>
      <c r="AI18" s="559">
        <f>AH18</f>
        <v>1117</v>
      </c>
      <c r="AJ18" s="295">
        <f>AA100</f>
        <v>4287.8333333333339</v>
      </c>
      <c r="AK18" s="558">
        <f>AB100</f>
        <v>1121</v>
      </c>
      <c r="AL18" s="559">
        <f>AK18</f>
        <v>1121</v>
      </c>
      <c r="AM18" s="295">
        <f>AC100</f>
        <v>4287.8333333333339</v>
      </c>
      <c r="AN18" s="558">
        <f>AD100</f>
        <v>1282</v>
      </c>
      <c r="AO18" s="559">
        <f>AN18</f>
        <v>1282</v>
      </c>
      <c r="AP18" s="295">
        <f>AE100</f>
        <v>4287.8333333333339</v>
      </c>
      <c r="AQ18" s="558">
        <f>AF100</f>
        <v>1269.9999999999998</v>
      </c>
      <c r="AR18" s="559">
        <f>AQ18</f>
        <v>1269.9999999999998</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 ca="1">C18/$C$6</f>
        <v>2.1978081466231997E-2</v>
      </c>
      <c r="D19" s="551">
        <f>D18/$D$6</f>
        <v>7.4737105808155334E-3</v>
      </c>
      <c r="E19" s="561">
        <f ca="1">E18/$E$6</f>
        <v>6.9397980089181462E-3</v>
      </c>
      <c r="F19" s="50"/>
      <c r="G19" s="562"/>
      <c r="H19" s="507"/>
      <c r="I19" s="508">
        <f ca="1">I18/$C$6</f>
        <v>1.8315067888526667E-3</v>
      </c>
      <c r="J19" s="563"/>
      <c r="K19" s="564"/>
      <c r="L19" s="508">
        <f ca="1">L18/$C$6</f>
        <v>1.8315067888526667E-3</v>
      </c>
      <c r="M19" s="563"/>
      <c r="N19" s="564"/>
      <c r="O19" s="508">
        <f ca="1">O18/$C$6</f>
        <v>1.8315067888526667E-3</v>
      </c>
      <c r="P19" s="563"/>
      <c r="Q19" s="564"/>
      <c r="R19" s="508">
        <f ca="1">R18/$C$6</f>
        <v>1.8315067888526667E-3</v>
      </c>
      <c r="S19" s="563"/>
      <c r="T19" s="564"/>
      <c r="U19" s="508">
        <f ca="1">U18/$C$6</f>
        <v>1.8315067888526667E-3</v>
      </c>
      <c r="V19" s="563"/>
      <c r="W19" s="564"/>
      <c r="X19" s="508">
        <f ca="1">X18/$C$6</f>
        <v>1.8315067888526667E-3</v>
      </c>
      <c r="Y19" s="563"/>
      <c r="Z19" s="564"/>
      <c r="AA19" s="508">
        <f ca="1">AA18/$C$6</f>
        <v>1.8315067888526667E-3</v>
      </c>
      <c r="AB19" s="563"/>
      <c r="AC19" s="564"/>
      <c r="AD19" s="508">
        <f ca="1">AD18/$C$6</f>
        <v>1.8315067888526667E-3</v>
      </c>
      <c r="AE19" s="563"/>
      <c r="AF19" s="564"/>
      <c r="AG19" s="508">
        <f ca="1">AG18/$C$6</f>
        <v>1.8315067888526667E-3</v>
      </c>
      <c r="AH19" s="563"/>
      <c r="AI19" s="564"/>
      <c r="AJ19" s="508">
        <f ca="1">AJ18/$C$6</f>
        <v>1.8315067888526667E-3</v>
      </c>
      <c r="AK19" s="563"/>
      <c r="AL19" s="564"/>
      <c r="AM19" s="508">
        <f ca="1">AM18/$C$6</f>
        <v>1.8315067888526667E-3</v>
      </c>
      <c r="AN19" s="563"/>
      <c r="AO19" s="564"/>
      <c r="AP19" s="508">
        <f ca="1">AP18/$C$6</f>
        <v>1.8315067888526667E-3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-91130.433175763581</v>
      </c>
      <c r="E20" s="568">
        <f ca="1">E6-C6</f>
        <v>81974.617760398425</v>
      </c>
      <c r="F20" s="50"/>
      <c r="G20" s="306" t="s">
        <v>1170</v>
      </c>
      <c r="H20" s="294" t="s">
        <v>837</v>
      </c>
      <c r="I20" s="335"/>
      <c r="J20" s="569">
        <f ca="1">J6-I6</f>
        <v>-8028.7336103020352</v>
      </c>
      <c r="K20" s="570">
        <f ca="1">K6-I6</f>
        <v>12901.24062046723</v>
      </c>
      <c r="L20" s="335"/>
      <c r="M20" s="569">
        <f ca="1">M6-L6</f>
        <v>6615.0238542415318</v>
      </c>
      <c r="N20" s="570">
        <f ca="1">N6-L6</f>
        <v>9376.328556435823</v>
      </c>
      <c r="O20" s="335"/>
      <c r="P20" s="569">
        <f ca="1">P6-O6</f>
        <v>66776.370437855396</v>
      </c>
      <c r="Q20" s="570">
        <f ca="1">Q6-O6</f>
        <v>32476.965178339829</v>
      </c>
      <c r="R20" s="335"/>
      <c r="S20" s="569">
        <f ca="1">S6-R6</f>
        <v>59667.945668152737</v>
      </c>
      <c r="T20" s="571">
        <f ca="1">T6-R6</f>
        <v>51811.078599187196</v>
      </c>
      <c r="U20" s="335"/>
      <c r="V20" s="572">
        <f ca="1">V6-U6</f>
        <v>78735.320891837298</v>
      </c>
      <c r="W20" s="570">
        <f ca="1">W6-U6</f>
        <v>45063.970441837278</v>
      </c>
      <c r="X20" s="573"/>
      <c r="Y20" s="569">
        <f>Y6-X6</f>
        <v>18214.836164529908</v>
      </c>
      <c r="Z20" s="570">
        <f ca="1">Z6-X6</f>
        <v>18214.836164529908</v>
      </c>
      <c r="AA20" s="335"/>
      <c r="AB20" s="569">
        <f>AB6-AA6</f>
        <v>6788.476164529915</v>
      </c>
      <c r="AC20" s="574">
        <f ca="1">AC6-AA6</f>
        <v>6788.476164529915</v>
      </c>
      <c r="AD20" s="335"/>
      <c r="AE20" s="569">
        <f>AE6-AD6</f>
        <v>9670.850480769237</v>
      </c>
      <c r="AF20" s="574">
        <f ca="1">AF6-AD6</f>
        <v>9670.850480769237</v>
      </c>
      <c r="AG20" s="335"/>
      <c r="AH20" s="572">
        <f ca="1">AH6-AG6</f>
        <v>62500.252668986948</v>
      </c>
      <c r="AI20" s="570">
        <f ca="1">AI6-AG6</f>
        <v>40743.284793986946</v>
      </c>
      <c r="AJ20" s="335"/>
      <c r="AK20" s="572">
        <f ca="1">AK6-AJ6</f>
        <v>44814.271238650283</v>
      </c>
      <c r="AL20" s="570">
        <f ca="1">AL6-AJ6</f>
        <v>50325.258957948507</v>
      </c>
      <c r="AM20" s="336"/>
      <c r="AN20" s="569">
        <f ca="1">AN6-AM6</f>
        <v>-2458.9704922693782</v>
      </c>
      <c r="AO20" s="570">
        <f ca="1">AO6-AM6</f>
        <v>32394.719883317477</v>
      </c>
      <c r="AP20" s="335"/>
      <c r="AQ20" s="569">
        <f ca="1">AQ6-AP6</f>
        <v>-16874.530362939287</v>
      </c>
      <c r="AR20" s="570">
        <f ca="1">AR6-AP6</f>
        <v>299543.06424023549</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-11.20904328061892</v>
      </c>
      <c r="E21" s="575">
        <f ca="1">E20*0.123/1000</f>
        <v>10.082877984529006</v>
      </c>
      <c r="F21" s="50"/>
      <c r="G21" s="501" t="s">
        <v>868</v>
      </c>
      <c r="H21" s="502" t="s">
        <v>1163</v>
      </c>
      <c r="I21" s="576"/>
      <c r="J21" s="281">
        <f ca="1">J20*0.123/1000</f>
        <v>-0.98753423406715035</v>
      </c>
      <c r="K21" s="577">
        <f ca="1">K20*0.123/1000</f>
        <v>1.5868525963174693</v>
      </c>
      <c r="L21" s="576"/>
      <c r="M21" s="281">
        <f ca="1">M20*0.123/1000</f>
        <v>0.81364793407170843</v>
      </c>
      <c r="N21" s="577">
        <f ca="1">N20*0.123/1000</f>
        <v>1.1532884124416061</v>
      </c>
      <c r="O21" s="576"/>
      <c r="P21" s="281">
        <f ca="1">P20*0.123/1000</f>
        <v>8.213493563856213</v>
      </c>
      <c r="Q21" s="577">
        <f ca="1">Q20*0.123/1000</f>
        <v>3.9946667169357988</v>
      </c>
      <c r="R21" s="576"/>
      <c r="S21" s="281">
        <f ca="1">S20*0.123/1000</f>
        <v>7.3391573171827869</v>
      </c>
      <c r="T21" s="578">
        <f ca="1">T20*0.123/1000</f>
        <v>6.3727626677000249</v>
      </c>
      <c r="U21" s="576"/>
      <c r="V21" s="281">
        <f ca="1">V20*0.123/1000</f>
        <v>9.6844444696959879</v>
      </c>
      <c r="W21" s="577">
        <f ca="1">W20*0.123/1000</f>
        <v>5.5428683643459857</v>
      </c>
      <c r="X21" s="579"/>
      <c r="Y21" s="281">
        <f>Y20*0.123/1000</f>
        <v>2.2404248482371787</v>
      </c>
      <c r="Z21" s="577">
        <f ca="1">Z20*0.123/1000</f>
        <v>2.2404248482371787</v>
      </c>
      <c r="AA21" s="576"/>
      <c r="AB21" s="281">
        <f>AB20*0.123/1000</f>
        <v>0.83498256823717953</v>
      </c>
      <c r="AC21" s="577">
        <f ca="1">AC20*0.123/1000</f>
        <v>0.83498256823717953</v>
      </c>
      <c r="AD21" s="576"/>
      <c r="AE21" s="281">
        <f>AE20*0.123/1000</f>
        <v>1.1895146091346163</v>
      </c>
      <c r="AF21" s="577">
        <f ca="1">AF20*0.123/1000</f>
        <v>1.1895146091346163</v>
      </c>
      <c r="AG21" s="576"/>
      <c r="AH21" s="281">
        <f ca="1">AH20*0.123/1000</f>
        <v>7.6875310782853949</v>
      </c>
      <c r="AI21" s="577">
        <f ca="1">AI20*0.123/1000</f>
        <v>5.011424029660394</v>
      </c>
      <c r="AJ21" s="576"/>
      <c r="AK21" s="281">
        <f ca="1">AK20*0.123/1000</f>
        <v>5.512155362353985</v>
      </c>
      <c r="AL21" s="577">
        <f ca="1">AL20*0.123/1000</f>
        <v>6.1900068518276665</v>
      </c>
      <c r="AM21" s="580"/>
      <c r="AN21" s="281">
        <f ca="1">AN20*0.123/1000</f>
        <v>-0.30245337054913352</v>
      </c>
      <c r="AO21" s="577">
        <f ca="1">AO20*0.123/1000</f>
        <v>3.9845505456480494</v>
      </c>
      <c r="AP21" s="576"/>
      <c r="AQ21" s="281">
        <f ca="1">AQ20*0.123/1000</f>
        <v>-2.0755672346415324</v>
      </c>
      <c r="AR21" s="581">
        <f ca="1">AR20*0.123/1000</f>
        <v>36.843796901548963</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-3.8925488482721331</v>
      </c>
      <c r="E22" s="583">
        <f ca="1">(E20/C6)*100</f>
        <v>3.5014669944052259</v>
      </c>
      <c r="F22" s="50"/>
      <c r="G22" s="506" t="s">
        <v>868</v>
      </c>
      <c r="H22" s="507" t="s">
        <v>1164</v>
      </c>
      <c r="I22" s="584"/>
      <c r="J22" s="585">
        <f ca="1">(J20/I6)*100</f>
        <v>-2.4817491631827249</v>
      </c>
      <c r="K22" s="586">
        <f ca="1">(K20/I6)*100</f>
        <v>3.9878821079304738</v>
      </c>
      <c r="L22" s="584"/>
      <c r="M22" s="585">
        <f ca="1">(M20/L6)*100</f>
        <v>2.3619507940756348</v>
      </c>
      <c r="N22" s="586">
        <f ca="1">(N20/L6)*100</f>
        <v>3.3478982339855698</v>
      </c>
      <c r="O22" s="584"/>
      <c r="P22" s="585">
        <f ca="1">(P20/O6)*100</f>
        <v>27.609002594652555</v>
      </c>
      <c r="Q22" s="586">
        <f ca="1">(Q20/O6)*100</f>
        <v>13.427753110805677</v>
      </c>
      <c r="R22" s="584"/>
      <c r="S22" s="585">
        <f ca="1">(S20/R6)*100</f>
        <v>35.738779702934067</v>
      </c>
      <c r="T22" s="587">
        <f ca="1">(T20/R6)*100</f>
        <v>31.032821785517971</v>
      </c>
      <c r="U22" s="582"/>
      <c r="V22" s="583">
        <f ca="1">(V20/U6)*100</f>
        <v>169.56734156087904</v>
      </c>
      <c r="W22" s="588">
        <f ca="1">(W20/U6)*100</f>
        <v>97.051457737725201</v>
      </c>
      <c r="X22" s="589"/>
      <c r="Y22" s="590">
        <f>(Y20/X6)*100</f>
        <v>66.01237279462697</v>
      </c>
      <c r="Z22" s="591">
        <f ca="1">(Z20/X6)*100</f>
        <v>66.01237279462697</v>
      </c>
      <c r="AA22" s="584"/>
      <c r="AB22" s="585">
        <f>(AB20/AA6)*100</f>
        <v>24.602110896447552</v>
      </c>
      <c r="AC22" s="586">
        <f ca="1">(AC20/AA6)*100</f>
        <v>24.602110896447552</v>
      </c>
      <c r="AD22" s="584"/>
      <c r="AE22" s="585">
        <f>(AE20/AD6)*100</f>
        <v>42.627842241096268</v>
      </c>
      <c r="AF22" s="586">
        <f ca="1">(AF20/AD6)*100</f>
        <v>42.627842241096268</v>
      </c>
      <c r="AG22" s="584"/>
      <c r="AH22" s="585">
        <f ca="1">(AH20/AG6)*100</f>
        <v>104.65558984525265</v>
      </c>
      <c r="AI22" s="586">
        <f ca="1">(AI20/AG6)*100</f>
        <v>68.223924228447956</v>
      </c>
      <c r="AJ22" s="584"/>
      <c r="AK22" s="585">
        <f ca="1">(AK20/AJ6)*100</f>
        <v>24.515334404831709</v>
      </c>
      <c r="AL22" s="586">
        <f ca="1">(AL20/AJ6)*100</f>
        <v>27.530081785639187</v>
      </c>
      <c r="AM22" s="592"/>
      <c r="AN22" s="590">
        <f ca="1">(AN20/AM6)*100</f>
        <v>-1.0100644071857725</v>
      </c>
      <c r="AO22" s="591">
        <f ca="1">(AO20/AM6)*100</f>
        <v>13.306688159846244</v>
      </c>
      <c r="AP22" s="584"/>
      <c r="AQ22" s="585">
        <f ca="1">(AQ20/AP6)*100</f>
        <v>-5.607497961002986</v>
      </c>
      <c r="AR22" s="586">
        <f ca="1">(AR20/AP6)*100</f>
        <v>99.539784861137377</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 ca="1">C6/('Ввод исходных данных'!$G$56+'Ввод исходных данных'!$D$23)</f>
        <v>309.42634424284154</v>
      </c>
      <c r="D23" s="594">
        <f>D6/('Ввод исходных данных'!$G$56+'Ввод исходных данных'!$D$23)</f>
        <v>297.38177264376628</v>
      </c>
      <c r="E23" s="518">
        <f ca="1">E6/('Ввод исходных данных'!$G$56+'Ввод исходных данных'!$D$23)</f>
        <v>320.26080555849933</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 ca="1">C7*1000/('Ввод исходных данных'!$G$56+'Ввод исходных данных'!$G$23)</f>
        <v>38.059440341869511</v>
      </c>
      <c r="D24" s="599">
        <f>0.123*D23</f>
        <v>36.577958035183251</v>
      </c>
      <c r="E24" s="600">
        <f ca="1">0.123*E23</f>
        <v>39.392079083695414</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1412597.0689233383</v>
      </c>
      <c r="C27" s="285">
        <f>C15</f>
        <v>877099.59425242513</v>
      </c>
      <c r="D27" s="285">
        <f ca="1">C18</f>
        <v>51454</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1483592.58</v>
      </c>
      <c r="C28" s="285">
        <f>D15</f>
        <v>749611.64999999991</v>
      </c>
      <c r="D28" s="285">
        <f>D18</f>
        <v>16816</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1656697.6309361618</v>
      </c>
      <c r="C29" s="285">
        <f>E15</f>
        <v>749611.64999999991</v>
      </c>
      <c r="D29" s="285">
        <f>E18</f>
        <v>16816</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72" t="s">
        <v>1175</v>
      </c>
      <c r="B32" s="2472"/>
      <c r="C32" s="2472"/>
      <c r="D32" s="2472"/>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81" t="s">
        <v>829</v>
      </c>
      <c r="B33" s="2458" t="s">
        <v>1157</v>
      </c>
      <c r="C33" s="2485" t="s">
        <v>1158</v>
      </c>
      <c r="D33" s="2462" t="s">
        <v>1159</v>
      </c>
      <c r="E33" s="2464" t="s">
        <v>1160</v>
      </c>
      <c r="F33" s="50"/>
      <c r="G33" s="2483" t="s">
        <v>829</v>
      </c>
      <c r="H33" s="2479" t="s">
        <v>1157</v>
      </c>
      <c r="I33" s="2489" t="s">
        <v>488</v>
      </c>
      <c r="J33" s="2490"/>
      <c r="K33" s="2491"/>
      <c r="L33" s="2489" t="s">
        <v>489</v>
      </c>
      <c r="M33" s="2490"/>
      <c r="N33" s="2491"/>
      <c r="O33" s="2489" t="s">
        <v>490</v>
      </c>
      <c r="P33" s="2490"/>
      <c r="Q33" s="2491"/>
      <c r="R33" s="2489" t="s">
        <v>491</v>
      </c>
      <c r="S33" s="2490"/>
      <c r="T33" s="2491"/>
      <c r="U33" s="2489" t="s">
        <v>800</v>
      </c>
      <c r="V33" s="2490"/>
      <c r="W33" s="2491"/>
      <c r="X33" s="2489" t="s">
        <v>801</v>
      </c>
      <c r="Y33" s="2490"/>
      <c r="Z33" s="2491"/>
      <c r="AA33" s="2489" t="s">
        <v>802</v>
      </c>
      <c r="AB33" s="2490"/>
      <c r="AC33" s="2491"/>
      <c r="AD33" s="2489" t="s">
        <v>803</v>
      </c>
      <c r="AE33" s="2490"/>
      <c r="AF33" s="2491"/>
      <c r="AG33" s="2489" t="s">
        <v>804</v>
      </c>
      <c r="AH33" s="2490"/>
      <c r="AI33" s="2491"/>
      <c r="AJ33" s="2489" t="s">
        <v>482</v>
      </c>
      <c r="AK33" s="2490"/>
      <c r="AL33" s="2491"/>
      <c r="AM33" s="2489" t="s">
        <v>486</v>
      </c>
      <c r="AN33" s="2490"/>
      <c r="AO33" s="2491"/>
      <c r="AP33" s="2489" t="s">
        <v>487</v>
      </c>
      <c r="AQ33" s="2490"/>
      <c r="AR33" s="2491"/>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82"/>
      <c r="B34" s="2459"/>
      <c r="C34" s="2486"/>
      <c r="D34" s="2463"/>
      <c r="E34" s="2465"/>
      <c r="F34" s="50"/>
      <c r="G34" s="2484"/>
      <c r="H34" s="2480"/>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1412597.0689233383</v>
      </c>
      <c r="D35" s="291">
        <f>D36*1163</f>
        <v>1483592.58</v>
      </c>
      <c r="E35" s="613">
        <f ca="1">D35*'Ввод исходных данных'!$H$285</f>
        <v>1656697.6309361618</v>
      </c>
      <c r="F35" s="614"/>
      <c r="G35" s="489" t="s">
        <v>1175</v>
      </c>
      <c r="H35" s="490" t="s">
        <v>837</v>
      </c>
      <c r="I35" s="295">
        <f ca="1">I38+I62+I65+I68-I71</f>
        <v>267585.28015852405</v>
      </c>
      <c r="J35" s="491">
        <f>J36*1163</f>
        <v>241857.48</v>
      </c>
      <c r="K35" s="615">
        <f ca="1">K36*1163</f>
        <v>262787.45423076925</v>
      </c>
      <c r="L35" s="296">
        <f ca="1">L38+L62+L65+L68-L71</f>
        <v>229137.5356086687</v>
      </c>
      <c r="M35" s="491">
        <f>M36*1163</f>
        <v>220214.05</v>
      </c>
      <c r="N35" s="615">
        <f ca="1">N36*1163</f>
        <v>222975.35470219431</v>
      </c>
      <c r="O35" s="295">
        <f ca="1">O38+O62+O65+O68-O71</f>
        <v>185938.67611036659</v>
      </c>
      <c r="P35" s="491">
        <f>P36*1163</f>
        <v>225284.73</v>
      </c>
      <c r="Q35" s="616">
        <f ca="1">Q36*1163</f>
        <v>190985.32474048442</v>
      </c>
      <c r="R35" s="296">
        <f ca="1">R38+R62+R65+R68-R71</f>
        <v>112695.68185163202</v>
      </c>
      <c r="S35" s="615">
        <f>S36*1163</f>
        <v>151899.43000000002</v>
      </c>
      <c r="T35" s="615">
        <f ca="1">T36*1163</f>
        <v>144042.56293103448</v>
      </c>
      <c r="U35" s="295">
        <f ca="1">U38+U62+U65+U68-U71</f>
        <v>4120.9123239746914</v>
      </c>
      <c r="V35" s="491">
        <f>V36*1163</f>
        <v>50974.29</v>
      </c>
      <c r="W35" s="617">
        <f ca="1">W36*1163</f>
        <v>17302.939549999999</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 ca="1">AG38+AG62+AG65+AG68-AG71</f>
        <v>10457.097765485993</v>
      </c>
      <c r="AH35" s="491">
        <f>AH36*1163</f>
        <v>50450.94</v>
      </c>
      <c r="AI35" s="618">
        <f ca="1">AI36*1163</f>
        <v>28693.972125</v>
      </c>
      <c r="AJ35" s="295">
        <f ca="1">AJ38+AJ62+AJ65+AJ68-AJ71</f>
        <v>126875.17530957176</v>
      </c>
      <c r="AK35" s="491">
        <f>AK36*1163</f>
        <v>157063.15000000002</v>
      </c>
      <c r="AL35" s="616">
        <f ca="1">AL36*1163</f>
        <v>162574.13771929825</v>
      </c>
      <c r="AM35" s="295">
        <f ca="1">AM38+AM62+AM65+AM68-AM71</f>
        <v>189186.8380120541</v>
      </c>
      <c r="AN35" s="491">
        <f>AN36*1163</f>
        <v>172647.34999999998</v>
      </c>
      <c r="AO35" s="616">
        <f ca="1">AO36*1163</f>
        <v>207501.04037558683</v>
      </c>
      <c r="AP35" s="295">
        <f ca="1">AP38+AP62+AP65+AP68-AP71</f>
        <v>245002.17691116131</v>
      </c>
      <c r="AQ35" s="491">
        <f>AQ36*1163</f>
        <v>213201.16</v>
      </c>
      <c r="AR35" s="618">
        <f ca="1">AR36*1163</f>
        <v>529618.75460317475</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1214.8334792740709</v>
      </c>
      <c r="D36" s="521">
        <f>'Ввод исходных данных'!J229</f>
        <v>1275.6600000000001</v>
      </c>
      <c r="E36" s="621">
        <f ca="1">0.86*E35/1000</f>
        <v>1424.7599626050992</v>
      </c>
      <c r="F36" s="622"/>
      <c r="G36" s="341" t="s">
        <v>868</v>
      </c>
      <c r="H36" s="342" t="s">
        <v>1167</v>
      </c>
      <c r="I36" s="623">
        <f ca="1">0.86*I35/1000</f>
        <v>230.12334093633066</v>
      </c>
      <c r="J36" s="624">
        <f>'Ввод исходных данных'!$J$217</f>
        <v>207.96</v>
      </c>
      <c r="K36" s="613">
        <f ca="1">(J36)*'Ввод исходных данных'!$H$273</f>
        <v>225.95653846153846</v>
      </c>
      <c r="L36" s="623">
        <f ca="1">0.86*L35/1000</f>
        <v>197.05828062345506</v>
      </c>
      <c r="M36" s="74">
        <f>'Ввод исходных данных'!$J$218</f>
        <v>189.35</v>
      </c>
      <c r="N36" s="613">
        <f ca="1">(M36)*'Ввод исходных данных'!$H$274</f>
        <v>191.72429467084635</v>
      </c>
      <c r="O36" s="623">
        <f ca="1">0.86*O35/1000</f>
        <v>159.90726145491527</v>
      </c>
      <c r="P36" s="74">
        <f>'Ввод исходных данных'!$J$219</f>
        <v>193.71</v>
      </c>
      <c r="Q36" s="613">
        <f ca="1">(P36)*'Ввод исходных данных'!$H$275</f>
        <v>164.21782006920415</v>
      </c>
      <c r="R36" s="623">
        <f ca="1">0.86*R35/1000</f>
        <v>96.91828639240353</v>
      </c>
      <c r="S36" s="74">
        <f>'Ввод исходных данных'!$J$220</f>
        <v>130.61000000000001</v>
      </c>
      <c r="T36" s="613">
        <f ca="1">(S36)*'Ввод исходных данных'!$H$276</f>
        <v>123.8543103448276</v>
      </c>
      <c r="U36" s="346"/>
      <c r="V36" s="74">
        <f>'Ввод исходных данных'!$J$221</f>
        <v>43.83</v>
      </c>
      <c r="W36" s="613">
        <f ca="1">(V36)*'Ввод исходных данных'!$H$277</f>
        <v>14.877849999999999</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43.38</v>
      </c>
      <c r="AI36" s="613">
        <f ca="1">(AH36)*'Ввод исходных данных'!$H$281</f>
        <v>24.672374999999999</v>
      </c>
      <c r="AJ36" s="623">
        <f ca="1">0.86*AJ35/1000</f>
        <v>109.11265076623171</v>
      </c>
      <c r="AK36" s="625">
        <f>'Ввод исходных данных'!$J$226</f>
        <v>135.05000000000001</v>
      </c>
      <c r="AL36" s="613">
        <f ca="1">(AK36)*'Ввод исходных данных'!$H$282</f>
        <v>139.78859649122808</v>
      </c>
      <c r="AM36" s="623">
        <f ca="1">0.86*AM35/1000</f>
        <v>162.70068069036651</v>
      </c>
      <c r="AN36" s="625">
        <f>'Ввод исходных данных'!$J$227</f>
        <v>148.44999999999999</v>
      </c>
      <c r="AO36" s="613">
        <f ca="1">(AN36)*'Ввод исходных данных'!$H$283</f>
        <v>178.41877934272298</v>
      </c>
      <c r="AP36" s="623">
        <f ca="1">0.86*AP35/1000</f>
        <v>210.70187214359871</v>
      </c>
      <c r="AQ36" s="625">
        <f>'Ввод исходных данных'!$J$228</f>
        <v>183.32</v>
      </c>
      <c r="AR36" s="613">
        <f ca="1">(AQ36)*'Ввод исходных данных'!$H$284</f>
        <v>455.39015873015882</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1275.8896187999999</v>
      </c>
      <c r="E37" s="626">
        <f ca="1">E39+E63+E66+E69-E72</f>
        <v>1424.759962605099</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1101873.8205456617</v>
      </c>
      <c r="D38" s="634">
        <f>$C38*(($D$35+$D$71)/($C$35+$C$71))</f>
        <v>1146061.6227392848</v>
      </c>
      <c r="E38" s="634">
        <f ca="1">$C38*(($E$35+$E$71)/($C$35+$C$71))</f>
        <v>1253802.6845822586</v>
      </c>
      <c r="F38" s="635">
        <f ca="1">E38-E44+F44</f>
        <v>1213219.2788861445</v>
      </c>
      <c r="G38" s="489" t="s">
        <v>1179</v>
      </c>
      <c r="H38" s="636" t="s">
        <v>837</v>
      </c>
      <c r="I38" s="298">
        <f>I41+I44+I47+I50+I53+I56+I59</f>
        <v>201822.9539017753</v>
      </c>
      <c r="J38" s="634">
        <f ca="1">I38*((J$35+J$71)/(I$35+I$71))</f>
        <v>185436.56113975268</v>
      </c>
      <c r="K38" s="634">
        <f ca="1">IFERROR(I38*((K$35+K$71)/(I$35+I$71)),0)</f>
        <v>198767.15202320085</v>
      </c>
      <c r="L38" s="298">
        <f>L41+L44+L47+L50+L53+L56+L59</f>
        <v>173687.9622311976</v>
      </c>
      <c r="M38" s="634">
        <f ca="1">L38*((M$35+M$71)/(L$35+L$71))</f>
        <v>168024.32697885891</v>
      </c>
      <c r="N38" s="634">
        <f ca="1">IFERROR(L38*((N$35+N$71)/(L$35+L$71)),0)</f>
        <v>169776.89580001595</v>
      </c>
      <c r="O38" s="298">
        <f>O41+O44+O47+O50+O53+O56+O59</f>
        <v>145860.24692016208</v>
      </c>
      <c r="P38" s="634">
        <f ca="1">O38*((P$35+P$71)/(O$35+O$71))</f>
        <v>170257.77653453438</v>
      </c>
      <c r="Q38" s="634">
        <f ca="1">IFERROR(O38*((Q$35+Q$71)/(O$35+O$71)),0)</f>
        <v>148989.55080796749</v>
      </c>
      <c r="R38" s="298">
        <f>R41+R44+R47+R50+R53+R56+R59</f>
        <v>95063.623733351196</v>
      </c>
      <c r="S38" s="634">
        <f ca="1">R38*((S$35+S$71)/(R$35+R$71))</f>
        <v>118298.82468035018</v>
      </c>
      <c r="T38" s="634">
        <f ca="1">IFERROR(R38*((T$35+T$71)/(R$35+R$71)),0)</f>
        <v>113642.23203848378</v>
      </c>
      <c r="U38" s="298">
        <f>U41+U44+U47+U50+U53+U56+U59</f>
        <v>11734.115980015673</v>
      </c>
      <c r="V38" s="634">
        <f ca="1">IFERROR(U38*((V$35+V$71)/(U$35+U$71)),0)</f>
        <v>31389.271092638952</v>
      </c>
      <c r="W38" s="634">
        <f ca="1">IFERROR(U38*((W$35+W$71)/(U$35+U$71)),0)</f>
        <v>17264.022310737444</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13107.257211719636</v>
      </c>
      <c r="AH38" s="634">
        <f ca="1">IFERROR(AG38*((AH$35+AH$71)/(AG$35+AG$71)),0)</f>
        <v>32995.736649186249</v>
      </c>
      <c r="AI38" s="634">
        <f ca="1">IFERROR(AG38*((AI$35+AI$71)/(AG$35+AG$71)),0)</f>
        <v>22176.245846921309</v>
      </c>
      <c r="AJ38" s="298">
        <f>AJ41+AJ44+AJ47+AJ50+AJ53+AJ56+AJ59</f>
        <v>105376.58655048443</v>
      </c>
      <c r="AK38" s="634">
        <f ca="1">IFERROR(AJ38*((AK$35+AK$71)/(AJ$35+AJ$71)),0)</f>
        <v>123433.99248210291</v>
      </c>
      <c r="AL38" s="634">
        <f ca="1">IFERROR(AJ38*((AL$35+AL$71)/(AJ$35+AJ$71)),0)</f>
        <v>126730.47538140405</v>
      </c>
      <c r="AM38" s="298">
        <f>AM41+AM44+AM47+AM50+AM53+AM56+AM59</f>
        <v>147492.65258022974</v>
      </c>
      <c r="AN38" s="634">
        <f ca="1">IFERROR(AM38*((AN$35+AN$71)/(AM$35+AM$71)),0)</f>
        <v>137194.73085046126</v>
      </c>
      <c r="AO38" s="634">
        <f ca="1">IFERROR(AM38*((AO$35+AO$71)/(AM$35+AM$71)),0)</f>
        <v>158895.5583016976</v>
      </c>
      <c r="AP38" s="298">
        <f>AP41+AP44+AP47+AP50+AP53+AP56+AP59</f>
        <v>186343.90728983973</v>
      </c>
      <c r="AQ38" s="634">
        <f ca="1">IFERROR(AP38*((AQ$35+AQ$71)/(AP$35+AP$71)),0)</f>
        <v>166207.7830427367</v>
      </c>
      <c r="AR38" s="634">
        <f ca="1">IFERROR(AP38*((AR$35+AR$71)/(AP$35+AP$71)),0)</f>
        <v>366560.62134026928</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947.61148566926909</v>
      </c>
      <c r="D39" s="339">
        <f>0.86*D38/1000</f>
        <v>985.61299555578489</v>
      </c>
      <c r="E39" s="638">
        <f ca="1">0.86*E38/1000</f>
        <v>1078.2703087407422</v>
      </c>
      <c r="F39" s="639"/>
      <c r="G39" s="341" t="s">
        <v>868</v>
      </c>
      <c r="H39" s="640" t="s">
        <v>1167</v>
      </c>
      <c r="I39" s="641">
        <f t="shared" ref="I39:W39" si="9">0.86*I38/1000</f>
        <v>173.56774035552678</v>
      </c>
      <c r="J39" s="642">
        <f t="shared" ca="1" si="9"/>
        <v>159.47544258018732</v>
      </c>
      <c r="K39" s="643">
        <f t="shared" ca="1" si="9"/>
        <v>170.93975073995273</v>
      </c>
      <c r="L39" s="644">
        <f t="shared" si="9"/>
        <v>149.37164751882995</v>
      </c>
      <c r="M39" s="645">
        <f t="shared" ca="1" si="9"/>
        <v>144.50092120181864</v>
      </c>
      <c r="N39" s="643">
        <f t="shared" ca="1" si="9"/>
        <v>146.00813038801371</v>
      </c>
      <c r="O39" s="646">
        <f t="shared" si="9"/>
        <v>125.4398123513394</v>
      </c>
      <c r="P39" s="643">
        <f t="shared" ca="1" si="9"/>
        <v>146.42168781969954</v>
      </c>
      <c r="Q39" s="643">
        <f t="shared" ca="1" si="9"/>
        <v>128.13101369485204</v>
      </c>
      <c r="R39" s="647">
        <f t="shared" si="9"/>
        <v>81.754716410682022</v>
      </c>
      <c r="S39" s="642">
        <f t="shared" ca="1" si="9"/>
        <v>101.73698922510117</v>
      </c>
      <c r="T39" s="648">
        <f t="shared" ca="1" si="9"/>
        <v>97.732319553096048</v>
      </c>
      <c r="U39" s="649">
        <f t="shared" si="9"/>
        <v>10.091339742813478</v>
      </c>
      <c r="V39" s="642">
        <f t="shared" ca="1" si="9"/>
        <v>26.994773139669498</v>
      </c>
      <c r="W39" s="648">
        <f t="shared" ca="1" si="9"/>
        <v>14.847059187234201</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11.272241202078886</v>
      </c>
      <c r="AH39" s="642">
        <f t="shared" ca="1" si="10"/>
        <v>28.376333518300171</v>
      </c>
      <c r="AI39" s="648">
        <f t="shared" ca="1" si="10"/>
        <v>19.071571428352328</v>
      </c>
      <c r="AJ39" s="644">
        <f t="shared" si="10"/>
        <v>90.6238644334166</v>
      </c>
      <c r="AK39" s="642">
        <f t="shared" ca="1" si="10"/>
        <v>106.1532335346085</v>
      </c>
      <c r="AL39" s="648">
        <f t="shared" ca="1" si="10"/>
        <v>108.98820882800749</v>
      </c>
      <c r="AM39" s="650">
        <f t="shared" si="10"/>
        <v>126.84368121899757</v>
      </c>
      <c r="AN39" s="642">
        <f t="shared" ca="1" si="10"/>
        <v>117.98746853139667</v>
      </c>
      <c r="AO39" s="648">
        <f t="shared" ca="1" si="10"/>
        <v>136.65018013945993</v>
      </c>
      <c r="AP39" s="644">
        <f t="shared" si="10"/>
        <v>160.25576026926217</v>
      </c>
      <c r="AQ39" s="642">
        <f t="shared" ca="1" si="10"/>
        <v>142.93869341675355</v>
      </c>
      <c r="AR39" s="648">
        <f t="shared" ca="1" si="10"/>
        <v>315.24213435263158</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691981.41552218178</v>
      </c>
      <c r="D41" s="668">
        <f>C41*($D$38/$C$38)</f>
        <v>719731.54202542803</v>
      </c>
      <c r="E41" s="669">
        <f ca="1">C41*($E$38/$C$38)</f>
        <v>787393.38414728141</v>
      </c>
      <c r="F41" s="50"/>
      <c r="G41" s="302" t="s">
        <v>1180</v>
      </c>
      <c r="H41" s="294" t="s">
        <v>837</v>
      </c>
      <c r="I41" s="303">
        <f>IF($C136=0,0,$B136/$C136*$D136)*0.024*G$149</f>
        <v>126745.6678993047</v>
      </c>
      <c r="J41" s="572">
        <f ca="1">I41*($J$38/$I$38)</f>
        <v>116454.94400030909</v>
      </c>
      <c r="K41" s="670">
        <f ca="1">I41*($K$38/$I$38)</f>
        <v>124826.61140657113</v>
      </c>
      <c r="L41" s="303">
        <f>IF($C136=0,0,$B136/$C136*$D136)*0.024*H$149</f>
        <v>109076.77423934833</v>
      </c>
      <c r="M41" s="671">
        <f ca="1">L41*($M$38/$L$38)</f>
        <v>105519.98736789526</v>
      </c>
      <c r="N41" s="672">
        <f ca="1">L41*($N$38/$L$38)</f>
        <v>106620.60799346173</v>
      </c>
      <c r="O41" s="303">
        <f>IF($C136=0,0,$B136/$C136*$D136)*0.024*I$149</f>
        <v>91600.851431650895</v>
      </c>
      <c r="P41" s="673">
        <f ca="1">O41*($P$38/$O$38)</f>
        <v>106922.60312681069</v>
      </c>
      <c r="Q41" s="674">
        <f ca="1">O41*($Q$38/$O$38)</f>
        <v>93566.067496781019</v>
      </c>
      <c r="R41" s="303">
        <f>IF($C136=0,0,$B136/$C136*$D136)*0.024*J$149</f>
        <v>59700.357417599997</v>
      </c>
      <c r="S41" s="673">
        <f ca="1">R41*($S$38/$R$38)</f>
        <v>74292.161797964087</v>
      </c>
      <c r="T41" s="674">
        <f ca="1">R41*($T$38/$R$38)</f>
        <v>71367.801941376179</v>
      </c>
      <c r="U41" s="303">
        <f>IF($C136=0,0,$B136/$C136*$D136)*0.024*K$149</f>
        <v>7369.074420637091</v>
      </c>
      <c r="V41" s="673">
        <f ca="1">IFERROR(U41*($V$38/$U$38),0)</f>
        <v>19712.59488871185</v>
      </c>
      <c r="W41" s="674">
        <f ca="1">IFERROR(U41*($W$38/$U$38),0)</f>
        <v>10841.878964212643</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8231.4129166690909</v>
      </c>
      <c r="AH41" s="673">
        <f ca="1">IFERROR(AG41*($AH$38/$AG$38),0)</f>
        <v>20721.462046710691</v>
      </c>
      <c r="AI41" s="674">
        <f ca="1">IFERROR(AG41*($AI$35/$AG$35),0)</f>
        <v>22586.757633635916</v>
      </c>
      <c r="AJ41" s="303">
        <f>IF($C136=0,0,$B136/$C136*$D136)*0.024*P$149</f>
        <v>66176.941646539621</v>
      </c>
      <c r="AK41" s="673">
        <f ca="1">AJ41*($AK$38/$AJ$38)</f>
        <v>77517.068877289261</v>
      </c>
      <c r="AL41" s="674">
        <f ca="1">IFERROR(AJ41*($AL$38/$AJ$38),0)</f>
        <v>79587.274068091807</v>
      </c>
      <c r="AM41" s="303">
        <f>IF($C136=0,0,$B136/$C136*$D136)*0.024*Q$149</f>
        <v>92626.00908427636</v>
      </c>
      <c r="AN41" s="673">
        <f ca="1">AM41*($AN$38/$AM$38)</f>
        <v>86158.870721761356</v>
      </c>
      <c r="AO41" s="674">
        <f ca="1">AM41*($AO$38/$AM$38)</f>
        <v>99787.082062940826</v>
      </c>
      <c r="AP41" s="303">
        <f>IF($C136=0,0,$B136/$C136*$D136)*0.024*R$149</f>
        <v>117024.76121676218</v>
      </c>
      <c r="AQ41" s="673">
        <f ca="1">AP41*($AQ$38/$AP$38)</f>
        <v>104379.19009978921</v>
      </c>
      <c r="AR41" s="674">
        <f ca="1">AP41*($AR$38/$AP$38)</f>
        <v>230201.61918732023</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595.10401734907634</v>
      </c>
      <c r="D42" s="339">
        <f>0.86*D41/1000</f>
        <v>618.96912614186806</v>
      </c>
      <c r="E42" s="638">
        <f ca="1">0.86*E41/1000</f>
        <v>677.15831036666202</v>
      </c>
      <c r="F42" s="50"/>
      <c r="G42" s="341" t="s">
        <v>868</v>
      </c>
      <c r="H42" s="342" t="s">
        <v>1167</v>
      </c>
      <c r="I42" s="650">
        <f t="shared" ref="I42:W42" si="11">0.86*I41/1000</f>
        <v>109.00127439340204</v>
      </c>
      <c r="J42" s="642">
        <f t="shared" ca="1" si="11"/>
        <v>100.15125184026581</v>
      </c>
      <c r="K42" s="675">
        <f t="shared" ca="1" si="11"/>
        <v>107.35088580965117</v>
      </c>
      <c r="L42" s="650">
        <f>0.86*L41/1000</f>
        <v>93.806025845839571</v>
      </c>
      <c r="M42" s="645">
        <f t="shared" ca="1" si="11"/>
        <v>90.74718913638992</v>
      </c>
      <c r="N42" s="645">
        <f t="shared" ca="1" si="11"/>
        <v>91.693722874377087</v>
      </c>
      <c r="O42" s="644">
        <f t="shared" si="11"/>
        <v>78.776732231219768</v>
      </c>
      <c r="P42" s="676">
        <f t="shared" ca="1" si="11"/>
        <v>91.953438689057194</v>
      </c>
      <c r="Q42" s="676">
        <f t="shared" ca="1" si="11"/>
        <v>80.466818047231669</v>
      </c>
      <c r="R42" s="650">
        <f t="shared" si="11"/>
        <v>51.342307379135995</v>
      </c>
      <c r="S42" s="642">
        <f t="shared" ca="1" si="11"/>
        <v>63.891259146249112</v>
      </c>
      <c r="T42" s="648">
        <f t="shared" ca="1" si="11"/>
        <v>61.376309669583513</v>
      </c>
      <c r="U42" s="650">
        <f t="shared" si="11"/>
        <v>6.3374040017478981</v>
      </c>
      <c r="V42" s="642">
        <f t="shared" ca="1" si="11"/>
        <v>16.952831604292189</v>
      </c>
      <c r="W42" s="648">
        <f t="shared" ca="1" si="11"/>
        <v>9.324015909222874</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7.0790151083354189</v>
      </c>
      <c r="AH42" s="642">
        <f t="shared" ca="1" si="12"/>
        <v>17.820457360171194</v>
      </c>
      <c r="AI42" s="648">
        <f t="shared" ca="1" si="12"/>
        <v>19.424611564926888</v>
      </c>
      <c r="AJ42" s="650">
        <f t="shared" si="12"/>
        <v>56.912169816024068</v>
      </c>
      <c r="AK42" s="642">
        <f t="shared" ca="1" si="12"/>
        <v>66.66467923446875</v>
      </c>
      <c r="AL42" s="648">
        <f t="shared" ca="1" si="12"/>
        <v>68.445055698558946</v>
      </c>
      <c r="AM42" s="650">
        <f t="shared" si="12"/>
        <v>79.658367812477664</v>
      </c>
      <c r="AN42" s="642">
        <f t="shared" ca="1" si="12"/>
        <v>74.096628820714756</v>
      </c>
      <c r="AO42" s="648">
        <f t="shared" ca="1" si="12"/>
        <v>85.816890574129104</v>
      </c>
      <c r="AP42" s="650">
        <f t="shared" si="12"/>
        <v>100.64129464641547</v>
      </c>
      <c r="AQ42" s="642">
        <f t="shared" ca="1" si="12"/>
        <v>89.766103485818718</v>
      </c>
      <c r="AR42" s="648">
        <f t="shared" ca="1" si="12"/>
        <v>197.97339250109539</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294333.75</v>
      </c>
      <c r="D44" s="668">
        <f>C44*($D$38/$C$38)</f>
        <v>306137.24444863532</v>
      </c>
      <c r="E44" s="669">
        <f ca="1">C44*($E$38/$C$38)</f>
        <v>334917.155696114</v>
      </c>
      <c r="F44" s="285">
        <f>C44</f>
        <v>294333.75</v>
      </c>
      <c r="G44" s="302" t="s">
        <v>1182</v>
      </c>
      <c r="H44" s="294" t="s">
        <v>837</v>
      </c>
      <c r="I44" s="303">
        <f>IF($C137=0,0,$B137/$C137*$D137)*0.024*G$149</f>
        <v>53911.17</v>
      </c>
      <c r="J44" s="572">
        <f ca="1">I44*($J$38/$I$38)</f>
        <v>49534.018695842024</v>
      </c>
      <c r="K44" s="670">
        <f ca="1">I44*($K$38/$I$38)</f>
        <v>53094.90083250816</v>
      </c>
      <c r="L44" s="303">
        <f>IF($C137=0,0,$B137/$C137*$D137)*0.024*H$149</f>
        <v>46395.719999999994</v>
      </c>
      <c r="M44" s="671">
        <f ca="1">L44*($M$38/$L$38)</f>
        <v>44882.843506004043</v>
      </c>
      <c r="N44" s="672">
        <f ca="1">L44*($N$38/$L$38)</f>
        <v>45350.991622100293</v>
      </c>
      <c r="O44" s="303">
        <f>IF($C137=0,0,$B137/$C137*$D137)*0.024*I$149</f>
        <v>38962.350000000006</v>
      </c>
      <c r="P44" s="673">
        <f ca="1">O44*($P$38/$O$38)</f>
        <v>45479.445014180601</v>
      </c>
      <c r="Q44" s="674">
        <f ca="1">O44*($Q$38/$O$38)</f>
        <v>39798.253105249591</v>
      </c>
      <c r="R44" s="303">
        <f>IF($C137=0,0,$B137/$C137*$D137)*0.024*J$149</f>
        <v>25393.500000000004</v>
      </c>
      <c r="S44" s="673">
        <f ca="1">R44*($S$38/$R$38)</f>
        <v>31600.11249883136</v>
      </c>
      <c r="T44" s="674">
        <f ca="1">R44*($T$38/$R$38)</f>
        <v>30356.238337428553</v>
      </c>
      <c r="U44" s="303">
        <f>IF($C137=0,0,$B137/$C137*$D137)*0.024*K$149</f>
        <v>3134.4300000000003</v>
      </c>
      <c r="V44" s="673">
        <f ca="1">IFERROR(U44*($V$38/$U$38),0)</f>
        <v>8384.7367077727577</v>
      </c>
      <c r="W44" s="674">
        <f ca="1">IFERROR(U44*($W$38/$U$38),0)</f>
        <v>4611.5846769883801</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3501.2250000000004</v>
      </c>
      <c r="AH44" s="673">
        <f ca="1">IFERROR(AG44*($AH$38/$AG$38),0)</f>
        <v>8813.8575587157884</v>
      </c>
      <c r="AI44" s="674">
        <f ca="1">IFERROR(AG44*($AI$35/$AG$35),0)</f>
        <v>9607.2595672709649</v>
      </c>
      <c r="AJ44" s="303">
        <f>IF($C137=0,0,$B137/$C137*$D137)*0.024*P$149</f>
        <v>28148.309999999998</v>
      </c>
      <c r="AK44" s="673">
        <f ca="1">AJ44*($AK$38/$AJ$38)</f>
        <v>32971.824184676341</v>
      </c>
      <c r="AL44" s="674">
        <f ca="1">IFERROR(AJ44*($AL$38/$AJ$38),0)</f>
        <v>33852.384331827932</v>
      </c>
      <c r="AM44" s="303">
        <f>IF($C137=0,0,$B137/$C137*$D137)*0.024*Q$149</f>
        <v>39398.400000000001</v>
      </c>
      <c r="AN44" s="673">
        <f ca="1">AM44*($AN$38/$AM$38)</f>
        <v>36647.607791842958</v>
      </c>
      <c r="AO44" s="674">
        <f ca="1">AM44*($AO$38/$AM$38)</f>
        <v>42444.356750505271</v>
      </c>
      <c r="AP44" s="303">
        <f>IF($C137=0,0,$B137/$C137*$D137)*0.024*R$149</f>
        <v>49776.390000000007</v>
      </c>
      <c r="AQ44" s="673">
        <f ca="1">AP44*($AQ$38/$AP$38)</f>
        <v>44397.606286651811</v>
      </c>
      <c r="AR44" s="674">
        <f ca="1">AP44*($AR$38/$AP$38)</f>
        <v>97916.077385323893</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253.127025</v>
      </c>
      <c r="D45" s="339">
        <f>0.86*D44/1000</f>
        <v>263.27803022582634</v>
      </c>
      <c r="E45" s="638">
        <f ca="1">0.86*E44/1000</f>
        <v>288.02875389865801</v>
      </c>
      <c r="F45" s="50"/>
      <c r="G45" s="341" t="s">
        <v>868</v>
      </c>
      <c r="H45" s="342" t="s">
        <v>1167</v>
      </c>
      <c r="I45" s="650">
        <f t="shared" ref="I45:O45" si="13">0.86*I44/1000</f>
        <v>46.363606199999992</v>
      </c>
      <c r="J45" s="642">
        <f t="shared" ca="1" si="13"/>
        <v>42.599256078424141</v>
      </c>
      <c r="K45" s="675">
        <f t="shared" ca="1" si="13"/>
        <v>45.661614715957015</v>
      </c>
      <c r="L45" s="650">
        <f>0.86*L44/1000</f>
        <v>39.900319199999991</v>
      </c>
      <c r="M45" s="645">
        <f t="shared" ca="1" si="13"/>
        <v>38.599245415163473</v>
      </c>
      <c r="N45" s="645">
        <f t="shared" ca="1" si="13"/>
        <v>39.001852795006251</v>
      </c>
      <c r="O45" s="650">
        <f t="shared" si="13"/>
        <v>33.507621000000007</v>
      </c>
      <c r="P45" s="679">
        <f ca="1">O45*($P$35/$O$35)</f>
        <v>40.598091305364889</v>
      </c>
      <c r="Q45" s="680">
        <f ca="1">O45*($Q$35/$O$35)</f>
        <v>34.417067023579222</v>
      </c>
      <c r="R45" s="650">
        <f t="shared" ref="R45:AR45" si="14">0.86*R44/1000</f>
        <v>21.838410000000003</v>
      </c>
      <c r="S45" s="642">
        <f t="shared" ca="1" si="14"/>
        <v>27.176096748994969</v>
      </c>
      <c r="T45" s="648">
        <f t="shared" ca="1" si="14"/>
        <v>26.106364970188555</v>
      </c>
      <c r="U45" s="650">
        <f t="shared" si="14"/>
        <v>2.6956098000000002</v>
      </c>
      <c r="V45" s="642">
        <f t="shared" ca="1" si="14"/>
        <v>7.2108735686845709</v>
      </c>
      <c r="W45" s="648">
        <f t="shared" ca="1" si="14"/>
        <v>3.965962822210007</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3.0110535000000005</v>
      </c>
      <c r="AH45" s="642">
        <f t="shared" ca="1" si="14"/>
        <v>7.5799175004955774</v>
      </c>
      <c r="AI45" s="648">
        <f t="shared" ca="1" si="14"/>
        <v>8.2622432278530304</v>
      </c>
      <c r="AJ45" s="650">
        <f t="shared" si="14"/>
        <v>24.207546599999997</v>
      </c>
      <c r="AK45" s="642">
        <f t="shared" ca="1" si="14"/>
        <v>28.355768798821654</v>
      </c>
      <c r="AL45" s="648">
        <f t="shared" ca="1" si="14"/>
        <v>29.113050525372021</v>
      </c>
      <c r="AM45" s="650">
        <f t="shared" si="14"/>
        <v>33.882624000000007</v>
      </c>
      <c r="AN45" s="642">
        <f t="shared" ca="1" si="14"/>
        <v>31.516942700984941</v>
      </c>
      <c r="AO45" s="648">
        <f t="shared" ca="1" si="14"/>
        <v>36.502146805434535</v>
      </c>
      <c r="AP45" s="650">
        <f t="shared" si="14"/>
        <v>42.807695400000007</v>
      </c>
      <c r="AQ45" s="642">
        <f t="shared" ca="1" si="14"/>
        <v>38.181941406520558</v>
      </c>
      <c r="AR45" s="648">
        <f t="shared" ca="1" si="14"/>
        <v>84.207826551378545</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26.712110271777057</v>
      </c>
      <c r="D46" s="691">
        <f>(D44/D38)*100</f>
        <v>26.712110271777057</v>
      </c>
      <c r="E46" s="691">
        <f ca="1">(E44/E38)*100</f>
        <v>26.712110271777057</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14934.190909090907</v>
      </c>
      <c r="D47" s="668">
        <f>C47*($D$35/$C$35)</f>
        <v>15684.766242590262</v>
      </c>
      <c r="E47" s="669">
        <f ca="1">C47*($E$38/$C$38)</f>
        <v>16993.351057754979</v>
      </c>
      <c r="F47" s="50"/>
      <c r="G47" s="302" t="s">
        <v>1184</v>
      </c>
      <c r="H47" s="294" t="s">
        <v>837</v>
      </c>
      <c r="I47" s="303">
        <f>IF($C138=0,0,$B138/$C138*$D138)*0.024*G$149</f>
        <v>2735.3971636363626</v>
      </c>
      <c r="J47" s="572">
        <f ca="1">I47*($J$38/$I$38)</f>
        <v>2513.3050209097082</v>
      </c>
      <c r="K47" s="670">
        <f ca="1">I47*($K$38/$I$38)</f>
        <v>2693.980507950333</v>
      </c>
      <c r="L47" s="303">
        <f>IF($C138=0,0,$B138/$C138*$D138)*0.024*H$149</f>
        <v>2354.0709818181808</v>
      </c>
      <c r="M47" s="671">
        <f ca="1">L47*($M$38/$L$38)</f>
        <v>2277.3091888426497</v>
      </c>
      <c r="N47" s="670">
        <f ca="1">L47*($N$38/$L$38)</f>
        <v>2301.0625414211859</v>
      </c>
      <c r="O47" s="303">
        <f>IF($C138=0,0,$B138/$C138*$D138)*0.024*I$149</f>
        <v>1976.9094545454541</v>
      </c>
      <c r="P47" s="673">
        <f ca="1">O47*($P$38/$O$38)</f>
        <v>2307.5801340528415</v>
      </c>
      <c r="Q47" s="674">
        <f ca="1">O47*($Q$38/$O$38)</f>
        <v>2019.3223159835297</v>
      </c>
      <c r="R47" s="303">
        <f>IF($C138=0,0,$B138/$C138*$D138)*0.024*J$149</f>
        <v>1288.4399999999998</v>
      </c>
      <c r="S47" s="673">
        <f ca="1">R47*($S$38/$R$38)</f>
        <v>1603.3571168997682</v>
      </c>
      <c r="T47" s="674">
        <f ca="1">R47*($T$38/$R$38)</f>
        <v>1540.2442248400746</v>
      </c>
      <c r="U47" s="303">
        <f>IF($C138=0,0,$B138/$C138*$D138)*0.024*K$149</f>
        <v>159.03774545454542</v>
      </c>
      <c r="V47" s="673">
        <f ca="1">IFERROR(U47*($V$38/$U$38),0)</f>
        <v>425.43289281756074</v>
      </c>
      <c r="W47" s="674">
        <f ca="1">IFERROR(U47*($W$38/$U$38),0)</f>
        <v>233.98705027739015</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177.64854545454543</v>
      </c>
      <c r="AH47" s="682">
        <f ca="1">IFERROR(AG47*($AH$35/$AG$35),0)</f>
        <v>857.07682081692883</v>
      </c>
      <c r="AI47" s="683">
        <f ca="1">IFERROR(AG47*($AI$35/$AG$35),0)</f>
        <v>487.46244183962818</v>
      </c>
      <c r="AJ47" s="303">
        <f>IF($C138=0,0,$B138/$C138*$D138)*0.024*P$149</f>
        <v>1428.2162181818178</v>
      </c>
      <c r="AK47" s="673">
        <f ca="1">AJ47*($AK$38/$AJ$38)</f>
        <v>1672.9563531023441</v>
      </c>
      <c r="AL47" s="674">
        <f ca="1">IFERROR(AJ47*($AL$38/$AJ$38),)</f>
        <v>1717.6350667887598</v>
      </c>
      <c r="AM47" s="303">
        <f>IF($C138=0,0,$B138/$C138*$D138)*0.024*Q$149</f>
        <v>1999.0341818181814</v>
      </c>
      <c r="AN47" s="673">
        <f ca="1">AM47*($AN$38/$AM$38)</f>
        <v>1859.4618222506597</v>
      </c>
      <c r="AO47" s="674">
        <f ca="1">AM47*($AO$38/$AM$38)</f>
        <v>2153.5828858416917</v>
      </c>
      <c r="AP47" s="303">
        <f>IF($C138=0,0,$B138/$C138*$D138)*0.024*R$149</f>
        <v>2525.6026909090906</v>
      </c>
      <c r="AQ47" s="673">
        <f ca="1">AP47*($AQ$38/$AP$38)</f>
        <v>2252.6887527900308</v>
      </c>
      <c r="AR47" s="674">
        <f ca="1">AP47*($AR$38/$AP$38)</f>
        <v>4968.1607791894257</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12.84340418181818</v>
      </c>
      <c r="D48" s="339">
        <f>0.86*D47/1000</f>
        <v>13.488898968627625</v>
      </c>
      <c r="E48" s="638">
        <f ca="1">0.86*E47/1000</f>
        <v>14.614281909669282</v>
      </c>
      <c r="F48" s="50"/>
      <c r="G48" s="341" t="s">
        <v>868</v>
      </c>
      <c r="H48" s="342" t="s">
        <v>1167</v>
      </c>
      <c r="I48" s="685">
        <f t="shared" ref="I48:O48" si="15">0.86*I47/1000</f>
        <v>2.352441560727272</v>
      </c>
      <c r="J48" s="642">
        <f t="shared" ca="1" si="15"/>
        <v>2.161442317982349</v>
      </c>
      <c r="K48" s="686">
        <f t="shared" ca="1" si="15"/>
        <v>2.3168232368372865</v>
      </c>
      <c r="L48" s="685">
        <f>0.86*L47/1000</f>
        <v>2.0245010443636353</v>
      </c>
      <c r="M48" s="645">
        <f t="shared" ca="1" si="15"/>
        <v>1.9584859024046786</v>
      </c>
      <c r="N48" s="643">
        <f t="shared" ca="1" si="15"/>
        <v>1.9789137856222199</v>
      </c>
      <c r="O48" s="685">
        <f t="shared" si="15"/>
        <v>1.7001421309090903</v>
      </c>
      <c r="P48" s="679">
        <f ca="1">O48*($P$35/$O$35)</f>
        <v>2.0599052813312189</v>
      </c>
      <c r="Q48" s="680">
        <f ca="1">O48*($Q$35/$O$35)</f>
        <v>1.7462864841735242</v>
      </c>
      <c r="R48" s="685">
        <f t="shared" ref="R48:AR48" si="16">0.86*R47/1000</f>
        <v>1.1080584</v>
      </c>
      <c r="S48" s="687">
        <f t="shared" ca="1" si="16"/>
        <v>1.3788871205338007</v>
      </c>
      <c r="T48" s="688">
        <f t="shared" ca="1" si="16"/>
        <v>1.324610033362464</v>
      </c>
      <c r="U48" s="685">
        <f t="shared" si="16"/>
        <v>0.13677246109090904</v>
      </c>
      <c r="V48" s="642">
        <f t="shared" ca="1" si="16"/>
        <v>0.36587228782310222</v>
      </c>
      <c r="W48" s="648">
        <f t="shared" ca="1" si="16"/>
        <v>0.20122886323855554</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0.15277774909090905</v>
      </c>
      <c r="AH48" s="642">
        <f t="shared" ca="1" si="16"/>
        <v>0.73708606590255876</v>
      </c>
      <c r="AI48" s="648">
        <f t="shared" ca="1" si="16"/>
        <v>0.41921769998208019</v>
      </c>
      <c r="AJ48" s="685">
        <f t="shared" si="16"/>
        <v>1.2282659476363633</v>
      </c>
      <c r="AK48" s="642">
        <f t="shared" ca="1" si="16"/>
        <v>1.4387424636680159</v>
      </c>
      <c r="AL48" s="648">
        <f t="shared" ca="1" si="16"/>
        <v>1.4771661574383335</v>
      </c>
      <c r="AM48" s="685">
        <f t="shared" si="16"/>
        <v>1.7191693963636361</v>
      </c>
      <c r="AN48" s="642">
        <f t="shared" ca="1" si="16"/>
        <v>1.5991371671355674</v>
      </c>
      <c r="AO48" s="648">
        <f t="shared" ca="1" si="16"/>
        <v>1.8520812818238548</v>
      </c>
      <c r="AP48" s="685">
        <f t="shared" si="16"/>
        <v>2.1720183141818179</v>
      </c>
      <c r="AQ48" s="642">
        <f t="shared" ca="1" si="16"/>
        <v>1.9373123273994266</v>
      </c>
      <c r="AR48" s="648">
        <f t="shared" ca="1" si="16"/>
        <v>4.2726182701029058</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0</v>
      </c>
      <c r="D50" s="668">
        <f>C50*($D$35/$C$35)</f>
        <v>0</v>
      </c>
      <c r="E50" s="669">
        <f ca="1">C50*($E$38/$C$38)</f>
        <v>0</v>
      </c>
      <c r="F50" s="50"/>
      <c r="G50" s="300" t="s">
        <v>1512</v>
      </c>
      <c r="H50" s="294" t="s">
        <v>837</v>
      </c>
      <c r="I50" s="303">
        <f>IF($C139=0,0,$B139/$C139*$D139)*0.024*G$149</f>
        <v>0</v>
      </c>
      <c r="J50" s="572">
        <f ca="1">I50*($J$38/$I$38)</f>
        <v>0</v>
      </c>
      <c r="K50" s="670">
        <f ca="1">I50*($K$38/$I$38)</f>
        <v>0</v>
      </c>
      <c r="L50" s="303">
        <f>IF($C139=0,0,$B139/$C139*$D139)*0.024*H$149</f>
        <v>0</v>
      </c>
      <c r="M50" s="671">
        <f ca="1">L50*($M$38/$L$38)</f>
        <v>0</v>
      </c>
      <c r="N50" s="670">
        <f ca="1">L50*($N$38/$L$38)</f>
        <v>0</v>
      </c>
      <c r="O50" s="303">
        <f>IF($C139=0,0,$B139/$C139*$D139)*0.024*I$149</f>
        <v>0</v>
      </c>
      <c r="P50" s="673">
        <f ca="1">O50*($P$38/$O$38)</f>
        <v>0</v>
      </c>
      <c r="Q50" s="674">
        <f ca="1">O50*($Q$38/$O$38)</f>
        <v>0</v>
      </c>
      <c r="R50" s="303">
        <f>IF($C139=0,0,$B139/$C139*$D139)*0.024*J$149</f>
        <v>0</v>
      </c>
      <c r="S50" s="673">
        <f ca="1">R50*($S$38/$R$38)</f>
        <v>0</v>
      </c>
      <c r="T50" s="674">
        <f ca="1">R50*($T$38/$R$38)</f>
        <v>0</v>
      </c>
      <c r="U50" s="303">
        <f>IF($C139=0,0,$B139/$C139*$D139)*0.024*K$149</f>
        <v>0</v>
      </c>
      <c r="V50" s="673">
        <f ca="1">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 ca="1">IFERROR(AG50*($AH$35/$AG$35),0)</f>
        <v>0</v>
      </c>
      <c r="AI50" s="683">
        <f ca="1">IFERROR(AG50*($AI$35/$AG$35),0)</f>
        <v>0</v>
      </c>
      <c r="AJ50" s="303">
        <f>IF($C139=0,0,$B139/$C139*$D139)*0.024*P$149</f>
        <v>0</v>
      </c>
      <c r="AK50" s="673">
        <f ca="1">AJ50*($AK$38/$AJ$38)</f>
        <v>0</v>
      </c>
      <c r="AL50" s="674">
        <f ca="1">IFERROR(AJ50*($AL$38/$AJ$38),)</f>
        <v>0</v>
      </c>
      <c r="AM50" s="303">
        <f>IF($C139=0,0,$B139/$C139*$D139)*0.024*Q$149</f>
        <v>0</v>
      </c>
      <c r="AN50" s="673">
        <f ca="1">AM50*($AN$38/$AM$38)</f>
        <v>0</v>
      </c>
      <c r="AO50" s="674">
        <f ca="1">AM50*($AO$38/$AM$38)</f>
        <v>0</v>
      </c>
      <c r="AP50" s="303">
        <f>IF($C139=0,0,$B139/$C139*$D139)*0.024*R$149</f>
        <v>0</v>
      </c>
      <c r="AQ50" s="673">
        <f ca="1">AP50*($AQ$38/$AP$38)</f>
        <v>0</v>
      </c>
      <c r="AR50" s="674">
        <f ca="1">AP50*($AR$38/$AP$38)</f>
        <v>0</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0</v>
      </c>
      <c r="D51" s="339">
        <f>0.86*D50/1000</f>
        <v>0</v>
      </c>
      <c r="E51" s="638">
        <f ca="1">0.86*E50/1000</f>
        <v>0</v>
      </c>
      <c r="F51" s="50"/>
      <c r="G51" s="341" t="s">
        <v>868</v>
      </c>
      <c r="H51" s="342" t="s">
        <v>1167</v>
      </c>
      <c r="I51" s="685">
        <f t="shared" ref="I51:O51" si="17">0.86*I50/1000</f>
        <v>0</v>
      </c>
      <c r="J51" s="642">
        <f t="shared" ca="1" si="17"/>
        <v>0</v>
      </c>
      <c r="K51" s="686">
        <f t="shared" ca="1" si="17"/>
        <v>0</v>
      </c>
      <c r="L51" s="685">
        <f t="shared" si="17"/>
        <v>0</v>
      </c>
      <c r="M51" s="645">
        <f t="shared" ca="1" si="17"/>
        <v>0</v>
      </c>
      <c r="N51" s="643">
        <f t="shared" ca="1" si="17"/>
        <v>0</v>
      </c>
      <c r="O51" s="685">
        <f t="shared" si="17"/>
        <v>0</v>
      </c>
      <c r="P51" s="679">
        <f ca="1">O51*($P$35/$O$35)</f>
        <v>0</v>
      </c>
      <c r="Q51" s="680">
        <f ca="1">O51*($Q$35/$O$35)</f>
        <v>0</v>
      </c>
      <c r="R51" s="685">
        <f>0.86*R50/1000</f>
        <v>0</v>
      </c>
      <c r="S51" s="687">
        <f ca="1">0.86*S50/1000</f>
        <v>0</v>
      </c>
      <c r="T51" s="688">
        <f ca="1">0.86*T50/1000</f>
        <v>0</v>
      </c>
      <c r="U51" s="685">
        <f t="shared" ref="U51:AH51" si="18">0.86*U50/1000</f>
        <v>0</v>
      </c>
      <c r="V51" s="642">
        <f t="shared" ca="1"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ca="1" si="18"/>
        <v>0</v>
      </c>
      <c r="AI51" s="648">
        <f ca="1">0.86*AI50/1000</f>
        <v>0</v>
      </c>
      <c r="AJ51" s="685">
        <f t="shared" ref="AJ51:AR51" si="19">0.86*AJ50/1000</f>
        <v>0</v>
      </c>
      <c r="AK51" s="642">
        <f t="shared" ca="1" si="19"/>
        <v>0</v>
      </c>
      <c r="AL51" s="648">
        <f t="shared" ca="1" si="19"/>
        <v>0</v>
      </c>
      <c r="AM51" s="685">
        <f t="shared" si="19"/>
        <v>0</v>
      </c>
      <c r="AN51" s="642">
        <f t="shared" ca="1" si="19"/>
        <v>0</v>
      </c>
      <c r="AO51" s="648">
        <f t="shared" ca="1" si="19"/>
        <v>0</v>
      </c>
      <c r="AP51" s="685">
        <f t="shared" si="19"/>
        <v>0</v>
      </c>
      <c r="AQ51" s="642">
        <f t="shared" ca="1" si="19"/>
        <v>0</v>
      </c>
      <c r="AR51" s="648">
        <f t="shared" ca="1" si="19"/>
        <v>0</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6665.3589406611572</v>
      </c>
      <c r="D53" s="668">
        <f>C53*($D$38/$C$38)</f>
        <v>6932.6559368576709</v>
      </c>
      <c r="E53" s="669">
        <f ca="1">C53*($E$38/$C$38)</f>
        <v>7584.3937642213923</v>
      </c>
      <c r="F53" s="50"/>
      <c r="G53" s="302" t="s">
        <v>1186</v>
      </c>
      <c r="H53" s="294" t="s">
        <v>837</v>
      </c>
      <c r="I53" s="303">
        <f>(IF(C140=0,0,B140/C140*D140)+IF(C141=0,0,B141/C141*D141)+IF(C142=0,0,B142/C142*D142))*0.024*G$149</f>
        <v>1220.8497970790081</v>
      </c>
      <c r="J53" s="572">
        <f ca="1">I53*($J$38/$I$38)</f>
        <v>1121.7266602324996</v>
      </c>
      <c r="K53" s="670">
        <f ca="1">I53*($K$38/$I$38)</f>
        <v>1202.3649070739448</v>
      </c>
      <c r="L53" s="303">
        <f>(IF(C140=0,0,B140/C140*D140)+IF(C141=0,0,B141/C141*D141)+IF(C142=0,0,B142/C142*D142))*0.024*H$149</f>
        <v>1050.6580611649586</v>
      </c>
      <c r="M53" s="671">
        <f ca="1">L53*($M$38/$L$38)</f>
        <v>1016.3980931342043</v>
      </c>
      <c r="N53" s="670">
        <f ca="1">L53*($N$38/$L$38)</f>
        <v>1026.9995794781109</v>
      </c>
      <c r="O53" s="303">
        <f>(IF(C140=0,0,B140/C140*D140)+IF(C141=0,0,B141/C141*D141)+IF(C142=0,0,B142/C142*D142))*0.024*I$149</f>
        <v>882.32507458512396</v>
      </c>
      <c r="P53" s="673">
        <f ca="1">O53*($P$38/$O$38)</f>
        <v>1029.9084812447641</v>
      </c>
      <c r="Q53" s="674">
        <f ca="1">O53*($Q$38/$O$38)</f>
        <v>901.25458652896918</v>
      </c>
      <c r="R53" s="303">
        <f>(IF(C140=0,0,B140/C140*D140)+IF(C141=0,0,B141/C141*D141)+IF(C142=0,0,B142/C142*D142))*0.024*J$149</f>
        <v>575.05057527272731</v>
      </c>
      <c r="S53" s="673">
        <f ca="1">R53*($S$38/$R$38)</f>
        <v>715.60292480894213</v>
      </c>
      <c r="T53" s="674">
        <f ca="1">R53*($T$38/$R$38)</f>
        <v>687.43467104000263</v>
      </c>
      <c r="U53" s="303">
        <f>(IF(C140=0,0,B140/C140*D140)+IF(C141=0,0,B141/C141*D141)+IF(C142=0,0,B142/C142*D142))*0.024*K$149</f>
        <v>70.980990200330581</v>
      </c>
      <c r="V53" s="673">
        <f ca="1">IFERROR(U53*($V$38/$U$38),0)</f>
        <v>189.8772389515064</v>
      </c>
      <c r="W53" s="674">
        <f ca="1">IFERROR(U53*($W$38/$U$38),0)</f>
        <v>104.43201691066857</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79.287276287603305</v>
      </c>
      <c r="AH53" s="673">
        <f ca="1">IFERROR(AG53*($AH$38/$AG$38),)</f>
        <v>199.59493017943132</v>
      </c>
      <c r="AI53" s="674">
        <f ca="1">IFERROR(AG53*($AI$35/$AG$35),0)</f>
        <v>217.56198007181288</v>
      </c>
      <c r="AJ53" s="303">
        <f>(IF(C140=0,0,B140/C140*D140)+IF(C141=0,0,B141/C141*D141)+IF(C142=0,0,B142/C142*D142))*0.024*P$149</f>
        <v>637.43484980231403</v>
      </c>
      <c r="AK53" s="673">
        <f ca="1">AJ53*($AK$38/$AJ$38)</f>
        <v>746.66613366370734</v>
      </c>
      <c r="AL53" s="674">
        <f ca="1">IFERROR(AJ53*($AL$38/$AJ$38),0)</f>
        <v>766.60693029204765</v>
      </c>
      <c r="AM53" s="303">
        <f>(IF(C140=0,0,B140/C140*D140)+IF(C141=0,0,B141/C141*D141)+IF(C142=0,0,B142/C142*D142))*0.024*Q$149</f>
        <v>892.19968042314053</v>
      </c>
      <c r="AN53" s="673">
        <f ca="1">AM53*($AN$38/$AM$38)</f>
        <v>829.90639112641327</v>
      </c>
      <c r="AO53" s="674">
        <f ca="1">AM53*($AO$38/$AM$38)</f>
        <v>961.17714243640773</v>
      </c>
      <c r="AP53" s="303">
        <f>(IF(C140=0,0,B140/C140*D140)+IF(C141=0,0,B141/C141*D141)+IF(C142=0,0,B142/C142*D142))*0.024*R$149</f>
        <v>1127.215299367934</v>
      </c>
      <c r="AQ53" s="673">
        <f ca="1">AP53*($AQ$38/$AP$38)</f>
        <v>1005.4096141087748</v>
      </c>
      <c r="AR53" s="674">
        <f ca="1">AP53*($AR$38/$AP$38)</f>
        <v>2217.3665161903396</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5.732208688968595</v>
      </c>
      <c r="D54" s="339">
        <f>0.86*D53/1000</f>
        <v>5.9620841056975973</v>
      </c>
      <c r="E54" s="638">
        <f ca="1">0.86*E53/1000</f>
        <v>6.5225786372303975</v>
      </c>
      <c r="F54" s="50"/>
      <c r="G54" s="341" t="s">
        <v>868</v>
      </c>
      <c r="H54" s="342" t="s">
        <v>1167</v>
      </c>
      <c r="I54" s="690">
        <f t="shared" ref="I54:O54" si="20">0.86*I53/1000</f>
        <v>1.0499308254879469</v>
      </c>
      <c r="J54" s="642">
        <f t="shared" ca="1" si="20"/>
        <v>0.96468492779994974</v>
      </c>
      <c r="K54" s="675">
        <f t="shared" ca="1" si="20"/>
        <v>1.0340338200835923</v>
      </c>
      <c r="L54" s="690">
        <f>0.86*L53/1000</f>
        <v>0.90356593260186435</v>
      </c>
      <c r="M54" s="645">
        <f t="shared" ca="1" si="20"/>
        <v>0.87410236009541564</v>
      </c>
      <c r="N54" s="643">
        <f t="shared" ca="1" si="20"/>
        <v>0.88321963835117534</v>
      </c>
      <c r="O54" s="690">
        <f t="shared" si="20"/>
        <v>0.7587995641432066</v>
      </c>
      <c r="P54" s="679">
        <f ca="1">O54*($P$35/$O$35)</f>
        <v>0.91936738772224313</v>
      </c>
      <c r="Q54" s="680">
        <f ca="1">O54*($Q$35/$O$35)</f>
        <v>0.77939449824203988</v>
      </c>
      <c r="R54" s="690">
        <f t="shared" ref="R54:AR54" si="21">0.86*R53/1000</f>
        <v>0.49454349473454551</v>
      </c>
      <c r="S54" s="687">
        <f t="shared" ca="1" si="21"/>
        <v>0.61541851533569025</v>
      </c>
      <c r="T54" s="688">
        <f t="shared" ca="1" si="21"/>
        <v>0.59119381709440222</v>
      </c>
      <c r="U54" s="690">
        <f t="shared" si="21"/>
        <v>6.1043651572284294E-2</v>
      </c>
      <c r="V54" s="642">
        <f t="shared" ca="1" si="21"/>
        <v>0.16329442549829551</v>
      </c>
      <c r="W54" s="648">
        <f t="shared" ca="1" si="21"/>
        <v>8.9811534543174976E-2</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6.8187057607338841E-2</v>
      </c>
      <c r="AH54" s="642">
        <f t="shared" ca="1" si="21"/>
        <v>0.17165163995431093</v>
      </c>
      <c r="AI54" s="648">
        <f t="shared" ca="1" si="21"/>
        <v>0.18710330286175908</v>
      </c>
      <c r="AJ54" s="690">
        <f t="shared" si="21"/>
        <v>0.54819397082999</v>
      </c>
      <c r="AK54" s="642">
        <f t="shared" ca="1" si="21"/>
        <v>0.6421328749507883</v>
      </c>
      <c r="AL54" s="648">
        <f t="shared" ca="1" si="21"/>
        <v>0.65928196005116091</v>
      </c>
      <c r="AM54" s="690">
        <f t="shared" si="21"/>
        <v>0.76729172516390087</v>
      </c>
      <c r="AN54" s="642">
        <f t="shared" ca="1" si="21"/>
        <v>0.71371949636871546</v>
      </c>
      <c r="AO54" s="648">
        <f t="shared" ca="1" si="21"/>
        <v>0.82661234249531057</v>
      </c>
      <c r="AP54" s="690">
        <f t="shared" si="21"/>
        <v>0.96940515745642319</v>
      </c>
      <c r="AQ54" s="642">
        <f t="shared" ca="1" si="21"/>
        <v>0.86465226813354623</v>
      </c>
      <c r="AR54" s="648">
        <f t="shared" ca="1" si="21"/>
        <v>1.906935203923692</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88871.452542148763</v>
      </c>
      <c r="D56" s="668">
        <f>C56*($D$38/$C$38)</f>
        <v>92435.412491435607</v>
      </c>
      <c r="E56" s="669">
        <f ca="1">C56*($E$38/$C$38)</f>
        <v>101125.25018961856</v>
      </c>
      <c r="F56" s="50"/>
      <c r="G56" s="302" t="s">
        <v>1187</v>
      </c>
      <c r="H56" s="294" t="s">
        <v>837</v>
      </c>
      <c r="I56" s="303">
        <f>(IF(C144=0,0,B144/C144*D144)+IF(C143=0,0,B143/C143*D143))*0.024*G$149</f>
        <v>16277.997294386776</v>
      </c>
      <c r="J56" s="572">
        <f ca="1">I56*($J$38/$I$38)</f>
        <v>14956.355469766664</v>
      </c>
      <c r="K56" s="670">
        <f ca="1">I56*($K$35/$I$35)</f>
        <v>15986.131473424339</v>
      </c>
      <c r="L56" s="303">
        <f>(IF(C144=0,0,B144/C144*D144)+IF(C143=0,0,B143/C143*D143))*0.024*H$149</f>
        <v>14008.774148866114</v>
      </c>
      <c r="M56" s="671">
        <f ca="1">L56*($M$38/$L$38)</f>
        <v>13551.974575122724</v>
      </c>
      <c r="N56" s="670">
        <f ca="1">L56*($N$38/$L$38)</f>
        <v>13693.327726374813</v>
      </c>
      <c r="O56" s="303">
        <f>(IF(C144=0,0,B144/C144*D144)+IF(C143=0,0,B143/C143*D143))*0.024*I$149</f>
        <v>11764.334327801655</v>
      </c>
      <c r="P56" s="673">
        <f ca="1">O56*($P$38/$O$38)</f>
        <v>13732.113083263524</v>
      </c>
      <c r="Q56" s="674">
        <f ca="1">O56*($Q$38/$O$38)</f>
        <v>12016.727820386257</v>
      </c>
      <c r="R56" s="303">
        <f>(IF(C144=0,0,B144/C144*D144)+IF(C143=0,0,B143/C143*D143))*0.024*J$149</f>
        <v>7667.3410036363639</v>
      </c>
      <c r="S56" s="673">
        <f ca="1">R56*($S$38/$R$38)</f>
        <v>9541.3723307858945</v>
      </c>
      <c r="T56" s="674">
        <f ca="1">R56*($T$38/$R$38)</f>
        <v>9165.7956138667014</v>
      </c>
      <c r="U56" s="303">
        <f>(IF(C144=0,0,B144/C144*D144)+IF(C143=0,0,B143/C143*D143))*0.024*K$149</f>
        <v>946.41320267107449</v>
      </c>
      <c r="V56" s="673">
        <f ca="1">IFERROR(U56*($V$38/$U$38),0)</f>
        <v>2531.6965193534188</v>
      </c>
      <c r="W56" s="674">
        <f ca="1">IFERROR(U56*($W$38/$U$38),0)</f>
        <v>1392.4268921422477</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1057.1636838347108</v>
      </c>
      <c r="AH56" s="673">
        <f ca="1">IFERROR(AG56*($AH$38/$AG$38),0)</f>
        <v>2661.2657357257513</v>
      </c>
      <c r="AI56" s="674">
        <f ca="1">IFERROR(AG56*($AI$35/$AG$35),0)</f>
        <v>2900.8264009575055</v>
      </c>
      <c r="AJ56" s="303">
        <f>(IF(C144=0,0,B144/C144*D144)+IF(C143=0,0,B143/C143*D143))*0.024*P$149</f>
        <v>8499.1313306975208</v>
      </c>
      <c r="AK56" s="673">
        <f ca="1">AJ56*($AK$38/$AJ$38)</f>
        <v>9955.5484488494312</v>
      </c>
      <c r="AL56" s="674">
        <f ca="1">AJ56*($AL$38/$AJ$38)</f>
        <v>10221.425737227302</v>
      </c>
      <c r="AM56" s="303">
        <f>(IF(C144=0,0,B144/C144*D144)+IF(C143=0,0,B143/C143*D143))*0.024*Q$149</f>
        <v>11895.995738975207</v>
      </c>
      <c r="AN56" s="673">
        <f ca="1">AM56*($AN$38/$AM$38)</f>
        <v>11065.418548352176</v>
      </c>
      <c r="AO56" s="674">
        <f ca="1">AM56*($AO$38/$AM$38)</f>
        <v>12815.695232485437</v>
      </c>
      <c r="AP56" s="303">
        <f>(IF(C144=0,0,B144/C144*D144)+IF(C143=0,0,B143/C143*D143))*0.024*R$149</f>
        <v>15029.537324905787</v>
      </c>
      <c r="AQ56" s="673">
        <f ca="1">AP56*($AQ$38/$AP$38)</f>
        <v>13405.461521450332</v>
      </c>
      <c r="AR56" s="674">
        <f ca="1">AP56*($AR$38/$AP$38)</f>
        <v>29564.886882537859</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76.429449186247936</v>
      </c>
      <c r="D57" s="339">
        <f>0.86*D56/1000</f>
        <v>79.49445474263463</v>
      </c>
      <c r="E57" s="638">
        <f ca="1">0.86*E56/1000</f>
        <v>86.967715163071958</v>
      </c>
      <c r="F57" s="50"/>
      <c r="G57" s="341" t="s">
        <v>868</v>
      </c>
      <c r="H57" s="342" t="s">
        <v>1167</v>
      </c>
      <c r="I57" s="690">
        <f t="shared" ref="I57:O57" si="22">0.86*I56/1000</f>
        <v>13.999077673172627</v>
      </c>
      <c r="J57" s="642">
        <f t="shared" ca="1" si="22"/>
        <v>12.86246570399933</v>
      </c>
      <c r="K57" s="675">
        <f t="shared" ca="1" si="22"/>
        <v>13.748073067144931</v>
      </c>
      <c r="L57" s="690">
        <f>0.86*L56/1000</f>
        <v>12.047545768024857</v>
      </c>
      <c r="M57" s="645">
        <f t="shared" ca="1" si="22"/>
        <v>11.654698134605542</v>
      </c>
      <c r="N57" s="643">
        <f t="shared" ca="1" si="22"/>
        <v>11.77626184468234</v>
      </c>
      <c r="O57" s="690">
        <f t="shared" si="22"/>
        <v>10.117327521909424</v>
      </c>
      <c r="P57" s="679">
        <f ca="1">O57*($P$35/$O$35)</f>
        <v>12.258231836296579</v>
      </c>
      <c r="Q57" s="680">
        <f ca="1">O57*($Q$35/$O$35)</f>
        <v>10.391926643227201</v>
      </c>
      <c r="R57" s="690">
        <f t="shared" ref="R57:AR57" si="23">0.86*R56/1000</f>
        <v>6.5939132631272734</v>
      </c>
      <c r="S57" s="687">
        <f t="shared" ca="1" si="23"/>
        <v>8.2055802044758686</v>
      </c>
      <c r="T57" s="688">
        <f t="shared" ca="1" si="23"/>
        <v>7.8825842279253626</v>
      </c>
      <c r="U57" s="690">
        <f t="shared" si="23"/>
        <v>0.81391535429712403</v>
      </c>
      <c r="V57" s="642">
        <f t="shared" ca="1" si="23"/>
        <v>2.1772590066439403</v>
      </c>
      <c r="W57" s="648">
        <f t="shared" ca="1" si="23"/>
        <v>1.1974871272423329</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0.90916076809785129</v>
      </c>
      <c r="AH57" s="642">
        <f t="shared" ca="1" si="23"/>
        <v>2.2886885327241462</v>
      </c>
      <c r="AI57" s="648">
        <f t="shared" ca="1" si="23"/>
        <v>2.4947107048234547</v>
      </c>
      <c r="AJ57" s="690">
        <f t="shared" si="23"/>
        <v>7.3092529443998675</v>
      </c>
      <c r="AK57" s="642">
        <f t="shared" ca="1" si="23"/>
        <v>8.561771666010511</v>
      </c>
      <c r="AL57" s="648">
        <f t="shared" ca="1" si="23"/>
        <v>8.7904261340154797</v>
      </c>
      <c r="AM57" s="690">
        <f t="shared" si="23"/>
        <v>10.230556335518679</v>
      </c>
      <c r="AN57" s="642">
        <f t="shared" ca="1" si="23"/>
        <v>9.516259951582871</v>
      </c>
      <c r="AO57" s="648">
        <f t="shared" ca="1" si="23"/>
        <v>11.021497899937476</v>
      </c>
      <c r="AP57" s="690">
        <f t="shared" si="23"/>
        <v>12.925402099418976</v>
      </c>
      <c r="AQ57" s="642">
        <f t="shared" ca="1" si="23"/>
        <v>11.528696908447285</v>
      </c>
      <c r="AR57" s="648">
        <f t="shared" ca="1" si="23"/>
        <v>25.42580271898256</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5087.6526315789479</v>
      </c>
      <c r="D59" s="668">
        <f>C59*($D$38/$C$38)</f>
        <v>5291.6797932395693</v>
      </c>
      <c r="E59" s="669">
        <f ca="1">C59*($E$38/$C$38)</f>
        <v>5789.1497272680099</v>
      </c>
      <c r="F59" s="50"/>
      <c r="G59" s="302" t="s">
        <v>1188</v>
      </c>
      <c r="H59" s="294" t="s">
        <v>837</v>
      </c>
      <c r="I59" s="305">
        <f>IF($C145=0,0,$B145/$C145*$D145)*0.024*G$149</f>
        <v>931.8717473684211</v>
      </c>
      <c r="J59" s="572">
        <f ca="1">I59*($J$38/$I$38)</f>
        <v>856.21129269267112</v>
      </c>
      <c r="K59" s="670">
        <f ca="1">I59*($K$38/$I$38)</f>
        <v>917.76227477798045</v>
      </c>
      <c r="L59" s="303">
        <f>IF($C145=0,0,$B145/$C145*$D145)*0.024*H$149</f>
        <v>801.96479999999997</v>
      </c>
      <c r="M59" s="671">
        <f ca="1">L59*($M$38/$L$38)</f>
        <v>775.81424786001458</v>
      </c>
      <c r="N59" s="670">
        <f ca="1">L59*($N$35/$L$35)</f>
        <v>780.39761256780002</v>
      </c>
      <c r="O59" s="303">
        <f>IF($C145=0,0,$B145/$C145*$D145)*0.024*I$149</f>
        <v>673.47663157894749</v>
      </c>
      <c r="P59" s="673">
        <f ca="1">O59*($P$38/$O$38)</f>
        <v>786.12669498195828</v>
      </c>
      <c r="Q59" s="674">
        <f ca="1">O59*($Q$38/$O$38)</f>
        <v>687.92548303810929</v>
      </c>
      <c r="R59" s="303">
        <f>IF($C145=0,0,$B145/$C145*$D145)*0.024*J$149</f>
        <v>438.93473684210534</v>
      </c>
      <c r="S59" s="673">
        <f ca="1">R59*($S$38/$R$38)</f>
        <v>546.21801106013208</v>
      </c>
      <c r="T59" s="674">
        <f ca="1">R59*($T$38/$R$38)</f>
        <v>524.71724993228304</v>
      </c>
      <c r="U59" s="305">
        <f>IF($C145=0,0,$B145/$C145*$D145)*0.024*K$149</f>
        <v>54.179621052631589</v>
      </c>
      <c r="V59" s="673">
        <f ca="1">IFERROR(U59*($V$38/$U$38),0)</f>
        <v>144.93284503186155</v>
      </c>
      <c r="W59" s="674">
        <f ca="1">IFERROR(U59*($W$38/$U$38),0)</f>
        <v>79.712710206114949</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60.51978947368422</v>
      </c>
      <c r="AH59" s="673">
        <f ca="1">IFERROR(AG59*($AH$38/$AG$38),)</f>
        <v>152.35033564095991</v>
      </c>
      <c r="AI59" s="674">
        <f ca="1">IFERROR(AG59*($AI$35/$AG$35),0)</f>
        <v>166.06454210462832</v>
      </c>
      <c r="AJ59" s="303">
        <f>IF($C145=0,0,$B145/$C145*$D145)*0.024*P$149</f>
        <v>486.55250526315791</v>
      </c>
      <c r="AK59" s="673">
        <f ca="1">AJ59*($AK$38/$AJ$38)</f>
        <v>569.92848452182932</v>
      </c>
      <c r="AL59" s="674">
        <f ca="1">AJ59*($AL$38/$AJ$38)</f>
        <v>585.14924717619476</v>
      </c>
      <c r="AM59" s="303">
        <f>IF($C145=0,0,$B145/$C145*$D145)*0.024*Q$149</f>
        <v>681.01389473684219</v>
      </c>
      <c r="AN59" s="673">
        <f ca="1">AM59*($AN$38/$AM$38)</f>
        <v>633.46557512770096</v>
      </c>
      <c r="AO59" s="674">
        <f ca="1">AM59*($AO$38/$AM$38)</f>
        <v>733.66422748795821</v>
      </c>
      <c r="AP59" s="303">
        <f>IF($C145=0,0,$B145/$C145*$D145)*0.024*R$149</f>
        <v>860.40075789473701</v>
      </c>
      <c r="AQ59" s="673">
        <f ca="1">AP59*($AQ$38/$AP$38)</f>
        <v>767.42676794655767</v>
      </c>
      <c r="AR59" s="674">
        <f ca="1">AP59*($AR$38/$AP$38)</f>
        <v>1692.510589707538</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4.5508446221860295</v>
      </c>
      <c r="E60" s="638">
        <f ca="1">0.86*E59/1000</f>
        <v>4.9786687654504886</v>
      </c>
      <c r="F60" s="50"/>
      <c r="G60" s="341" t="s">
        <v>868</v>
      </c>
      <c r="H60" s="342" t="s">
        <v>1167</v>
      </c>
      <c r="I60" s="690">
        <f t="shared" ref="I60:W60" si="24">0.86*I59/1000</f>
        <v>0.8014097027368422</v>
      </c>
      <c r="J60" s="642">
        <f t="shared" ca="1" si="24"/>
        <v>0.73634171171569707</v>
      </c>
      <c r="K60" s="675">
        <f t="shared" ca="1" si="24"/>
        <v>0.78927555630906321</v>
      </c>
      <c r="L60" s="690">
        <f>0.86*L59/1000</f>
        <v>0.68968972799999995</v>
      </c>
      <c r="M60" s="645">
        <f t="shared" ca="1" si="24"/>
        <v>0.66720025315961251</v>
      </c>
      <c r="N60" s="643">
        <f t="shared" ca="1" si="24"/>
        <v>0.67114194680830808</v>
      </c>
      <c r="O60" s="690">
        <f t="shared" si="24"/>
        <v>0.57918990315789487</v>
      </c>
      <c r="P60" s="645">
        <f t="shared" ca="1" si="24"/>
        <v>0.67606895768448405</v>
      </c>
      <c r="Q60" s="643">
        <f t="shared" ca="1" si="24"/>
        <v>0.59161591541277403</v>
      </c>
      <c r="R60" s="690">
        <f t="shared" si="24"/>
        <v>0.3774838736842106</v>
      </c>
      <c r="S60" s="687">
        <f t="shared" ca="1" si="24"/>
        <v>0.46974748951171358</v>
      </c>
      <c r="T60" s="688">
        <f t="shared" ca="1" si="24"/>
        <v>0.45125683494176344</v>
      </c>
      <c r="U60" s="690">
        <f t="shared" si="24"/>
        <v>4.659447410526317E-2</v>
      </c>
      <c r="V60" s="642">
        <f t="shared" ca="1" si="24"/>
        <v>0.12464224672740093</v>
      </c>
      <c r="W60" s="648">
        <f t="shared" ca="1" si="24"/>
        <v>6.8552930777258853E-2</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5.2047018947368427E-2</v>
      </c>
      <c r="AH60" s="642">
        <f t="shared" ca="1" si="25"/>
        <v>0.13102128865122553</v>
      </c>
      <c r="AI60" s="648">
        <f t="shared" ca="1" si="25"/>
        <v>0.14281550620998035</v>
      </c>
      <c r="AJ60" s="690">
        <f t="shared" si="25"/>
        <v>0.4184351545263158</v>
      </c>
      <c r="AK60" s="642">
        <f t="shared" ca="1" si="25"/>
        <v>0.49013849668877324</v>
      </c>
      <c r="AL60" s="648">
        <f t="shared" ca="1" si="25"/>
        <v>0.50322835257152743</v>
      </c>
      <c r="AM60" s="690">
        <f t="shared" si="25"/>
        <v>0.58567194947368428</v>
      </c>
      <c r="AN60" s="642">
        <f t="shared" ca="1" si="25"/>
        <v>0.54478039460982275</v>
      </c>
      <c r="AO60" s="648">
        <f t="shared" ca="1" si="25"/>
        <v>0.63095123563964406</v>
      </c>
      <c r="AP60" s="690">
        <f t="shared" si="25"/>
        <v>0.73994465178947377</v>
      </c>
      <c r="AQ60" s="642">
        <f t="shared" ca="1" si="25"/>
        <v>0.65998702043403956</v>
      </c>
      <c r="AR60" s="648">
        <f t="shared" ca="1" si="25"/>
        <v>1.4555591071484826</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372965.74147477641</v>
      </c>
      <c r="D62" s="634">
        <f>C62*(($D$35+$D$71)/($C$35+$C$71))</f>
        <v>387922.56874663586</v>
      </c>
      <c r="E62" s="634">
        <f ca="1">$C62*(($E$35+$E$71)/($C$35+$C$71))</f>
        <v>424391.10467903968</v>
      </c>
      <c r="F62" s="50"/>
      <c r="G62" s="306" t="s">
        <v>1181</v>
      </c>
      <c r="H62" s="294" t="s">
        <v>837</v>
      </c>
      <c r="I62" s="296">
        <f>($D$153*$D$154*'Ввод исходных данных'!$D$22*0.28)*G$149*0.024+G194*$D$156+G163</f>
        <v>68313.672804504138</v>
      </c>
      <c r="J62" s="634">
        <f ca="1">I62*((J$35+J$71)/(I$35+I$71))</f>
        <v>62767.154670914075</v>
      </c>
      <c r="K62" s="634">
        <f ca="1">IFERROR(I62*((K$35+K$71)/(I$35+I$71)),0)</f>
        <v>67279.335303974236</v>
      </c>
      <c r="L62" s="296">
        <f>($D$153*$D$154*'Ввод исходных данных'!$D$22*0.28)*H$149*0.024+H194*$D$156+H163</f>
        <v>58790.451693209194</v>
      </c>
      <c r="M62" s="634">
        <f ca="1">L62*((M$35+M$71)/(L$35+L$71))</f>
        <v>56873.406490805603</v>
      </c>
      <c r="N62" s="634">
        <f ca="1">IFERROR(L62*((N$35+N$71)/(L$35+L$71)),0)</f>
        <v>57466.62153746558</v>
      </c>
      <c r="O62" s="296">
        <f>($D$153*$D$154*'Ввод исходных данных'!$D$22*0.28)*I$149*0.024+I194*$D$156+I163</f>
        <v>49371.238457532498</v>
      </c>
      <c r="P62" s="634">
        <f ca="1">O62*((P$35+P$71)/(O$35+O$71))</f>
        <v>57629.391571898195</v>
      </c>
      <c r="Q62" s="634">
        <f ca="1">IFERROR(O62*((Q$35+Q$71)/(O$35+O$71)),0)</f>
        <v>50430.455150998605</v>
      </c>
      <c r="R62" s="296">
        <f>($D$153*$D$154*'Ввод исходных данных'!$D$22*0.28)*J$149*0.024+J194*$D$156+J163</f>
        <v>32177.436519392482</v>
      </c>
      <c r="S62" s="634">
        <f ca="1">R62*((S$35+S$71)/(R$35+R$71))</f>
        <v>40042.160944210402</v>
      </c>
      <c r="T62" s="634">
        <f ca="1">IFERROR(R62*((T$35+T$71)/(R$35+R$71)),0)</f>
        <v>38465.982714874102</v>
      </c>
      <c r="U62" s="296">
        <f>($D$153*$D$154*'Ввод исходных данных'!$D$22*0.28)*K$149*0.024+K194*$D$156+K163</f>
        <v>3971.8007501714751</v>
      </c>
      <c r="V62" s="634">
        <f ca="1">IFERROR(U62*((V$35+V$71)/(U$35+U$71)),0)</f>
        <v>10624.739919513961</v>
      </c>
      <c r="W62" s="634">
        <f ca="1">IFERROR(U62*((W$35+W$71)/(U$35+U$71)),0)</f>
        <v>5843.5809635377809</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4436.5859443404779</v>
      </c>
      <c r="AH62" s="634">
        <f ca="1">IFERROR(AG62*((AH$35+AH$71)/(AG$35+AG$71)),0)</f>
        <v>11168.50147031897</v>
      </c>
      <c r="AI62" s="634">
        <f ca="1">IFERROR(AG62*((AI$35+AI$71)/(AG$35+AG$71)),0)</f>
        <v>7506.2859478121054</v>
      </c>
      <c r="AJ62" s="296">
        <f>($D$153*$D$154*'Ввод исходных данных'!$D$22*0.28)*P$149*0.024+P194*$D$156+P163</f>
        <v>35668.200844829604</v>
      </c>
      <c r="AK62" s="634">
        <f ca="1">IFERROR(AJ62*((AK$35+AK$71)/(AJ$35+AJ$71)),0)</f>
        <v>41780.32880977387</v>
      </c>
      <c r="AL62" s="634">
        <f ca="1">IFERROR(AJ62*((AL$35+AL$71)/(AJ$35+AJ$71)),0)</f>
        <v>42896.132784668123</v>
      </c>
      <c r="AM62" s="296">
        <f>($D$153*$D$154*'Ввод исходных данных'!$D$22*0.28)*Q$149*0.024+Q194*$D$156+Q163</f>
        <v>49923.780296754383</v>
      </c>
      <c r="AN62" s="634">
        <f ca="1">IFERROR(AM62*((AN$35+AN$71)/(AM$35+AM$71)),0)</f>
        <v>46438.107126218114</v>
      </c>
      <c r="AO62" s="634">
        <f ca="1">IFERROR(AM62*((AO$35+AO$71)/(AM$35+AM$71)),0)</f>
        <v>53783.471949350453</v>
      </c>
      <c r="AP62" s="296">
        <f>($D$153*$D$154*'Ввод исходных данных'!$D$22*0.28)*R$149*0.024+R194*$D$156+R163</f>
        <v>63074.276070235399</v>
      </c>
      <c r="AQ62" s="634">
        <f ca="1">IFERROR(AP62*((AQ$35+AQ$71)/(AP$35+AP$71)),0)</f>
        <v>56258.536944561354</v>
      </c>
      <c r="AR62" s="634">
        <f ca="1">IFERROR(AP62*((AR$35+AR$71)/(AP$35+AP$71)),0)</f>
        <v>124074.60036206827</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320.75053766830774</v>
      </c>
      <c r="D63" s="339">
        <f>0.86*D62/1000</f>
        <v>333.61340912210687</v>
      </c>
      <c r="E63" s="694">
        <f ca="1">0.86*E62/1000</f>
        <v>364.97635002397413</v>
      </c>
      <c r="F63" s="50"/>
      <c r="G63" s="341" t="s">
        <v>868</v>
      </c>
      <c r="H63" s="342" t="s">
        <v>1167</v>
      </c>
      <c r="I63" s="690">
        <f t="shared" ref="I63:O63" si="26">0.86*I62/1000</f>
        <v>58.74975861187356</v>
      </c>
      <c r="J63" s="642">
        <f t="shared" ca="1" si="26"/>
        <v>53.979753016986109</v>
      </c>
      <c r="K63" s="675">
        <f t="shared" ca="1" si="26"/>
        <v>57.860228361417846</v>
      </c>
      <c r="L63" s="695">
        <f t="shared" si="26"/>
        <v>50.559788456159907</v>
      </c>
      <c r="M63" s="645">
        <f t="shared" ca="1" si="26"/>
        <v>48.911129582092819</v>
      </c>
      <c r="N63" s="643">
        <f t="shared" ca="1" si="26"/>
        <v>49.4212945222204</v>
      </c>
      <c r="O63" s="332">
        <f t="shared" si="26"/>
        <v>42.459265073477944</v>
      </c>
      <c r="P63" s="679">
        <f ca="1">O63*($P$35/$O$35)</f>
        <v>51.443972110456535</v>
      </c>
      <c r="Q63" s="680">
        <f ca="1">O63*($Q$35/$O$35)</f>
        <v>43.611671858345495</v>
      </c>
      <c r="R63" s="647">
        <f t="shared" ref="R63:AR63" si="27">0.86*R62/1000</f>
        <v>27.672595406677534</v>
      </c>
      <c r="S63" s="687">
        <f t="shared" ca="1" si="27"/>
        <v>34.436258412020941</v>
      </c>
      <c r="T63" s="688">
        <f t="shared" ca="1" si="27"/>
        <v>33.080745134791734</v>
      </c>
      <c r="U63" s="332">
        <f t="shared" si="27"/>
        <v>3.4157486451474681</v>
      </c>
      <c r="V63" s="642">
        <f t="shared" ca="1" si="27"/>
        <v>9.1372763307820062</v>
      </c>
      <c r="W63" s="648">
        <f t="shared" ca="1" si="27"/>
        <v>5.0254796286424916</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3.8154639121328109</v>
      </c>
      <c r="AH63" s="642">
        <f t="shared" ca="1" si="27"/>
        <v>9.604911264474314</v>
      </c>
      <c r="AI63" s="648">
        <f t="shared" ca="1" si="27"/>
        <v>6.4554059151184102</v>
      </c>
      <c r="AJ63" s="644">
        <f t="shared" si="27"/>
        <v>30.674652726553461</v>
      </c>
      <c r="AK63" s="642">
        <f t="shared" ca="1" si="27"/>
        <v>35.931082776405532</v>
      </c>
      <c r="AL63" s="648">
        <f t="shared" ca="1" si="27"/>
        <v>36.890674194814586</v>
      </c>
      <c r="AM63" s="647">
        <f t="shared" si="27"/>
        <v>42.934451055208768</v>
      </c>
      <c r="AN63" s="642">
        <f t="shared" ca="1" si="27"/>
        <v>39.936772128547581</v>
      </c>
      <c r="AO63" s="648">
        <f t="shared" ca="1" si="27"/>
        <v>46.253785876441391</v>
      </c>
      <c r="AP63" s="647">
        <f t="shared" si="27"/>
        <v>54.243877420402448</v>
      </c>
      <c r="AQ63" s="642">
        <f t="shared" ca="1" si="27"/>
        <v>48.382341772322761</v>
      </c>
      <c r="AR63" s="648">
        <f t="shared" ca="1" si="27"/>
        <v>106.70415631137871</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116636.45523220234</v>
      </c>
      <c r="D65" s="634">
        <f>C65*(($D$35+$D$71)/($C$35+$C$71))</f>
        <v>121313.85886614441</v>
      </c>
      <c r="E65" s="634">
        <f ca="1">$C65*(($E$35+$E$71)/($C$35+$C$71))</f>
        <v>132718.55448736795</v>
      </c>
      <c r="F65" s="50"/>
      <c r="G65" s="697" t="s">
        <v>1189</v>
      </c>
      <c r="H65" s="698" t="s">
        <v>837</v>
      </c>
      <c r="I65" s="309">
        <f ca="1">(I62+I38-I71*$D$158)*($D$160-1)</f>
        <v>22094.197444281821</v>
      </c>
      <c r="J65" s="634">
        <f ca="1">I65*((J$35+J$71)/(I$35+I$71))</f>
        <v>20300.327172915757</v>
      </c>
      <c r="K65" s="634">
        <f ca="1">IFERROR(I65*((K$35+K$71)/(I$35+I$71)),0)</f>
        <v>21759.669142368799</v>
      </c>
      <c r="L65" s="311">
        <f ca="1">(L62+L38-L71*$D$158)*($D$160-1)</f>
        <v>18919.613031908444</v>
      </c>
      <c r="M65" s="634">
        <f ca="1">L65*((M$35+M$71)/(L$35+L$71))</f>
        <v>18302.680309849737</v>
      </c>
      <c r="N65" s="634">
        <f ca="1">IFERROR(L65*((N$35+N$71)/(L$35+L$71)),0)</f>
        <v>18493.585445025092</v>
      </c>
      <c r="O65" s="699">
        <f ca="1">(O62+O38-O71*$D$158)*($D$160-1)</f>
        <v>15352.734724709178</v>
      </c>
      <c r="P65" s="634">
        <f ca="1">O65*((P$35+P$71)/(O$35+O$71))</f>
        <v>17920.732572078228</v>
      </c>
      <c r="Q65" s="634">
        <f ca="1">IFERROR(O65*((Q$35+Q$71)/(O$35+O$71)),0)</f>
        <v>15682.114205938045</v>
      </c>
      <c r="R65" s="699">
        <f ca="1">(R62+R38-R71*$D$158)*($D$160-1)</f>
        <v>9305.148042795312</v>
      </c>
      <c r="S65" s="634">
        <f ca="1">R65*((S$35+S$71)/(R$35+R$71))</f>
        <v>11579.487859909515</v>
      </c>
      <c r="T65" s="634">
        <f ca="1">IFERROR(R65*((T$35+T$71)/(R$35+R$71)),0)</f>
        <v>11123.684870228652</v>
      </c>
      <c r="U65" s="336">
        <f ca="1">(U62+U38-U71*$D$158)*($D$160-1)</f>
        <v>340.25881574102982</v>
      </c>
      <c r="V65" s="634">
        <f ca="1">IFERROR(U65*((V$35+V$71)/(U$35+U$71)),0)</f>
        <v>910.20714531417184</v>
      </c>
      <c r="W65" s="634">
        <f ca="1">IFERROR(U65*((W$35+W$71)/(U$35+U$71)),0)</f>
        <v>500.6117032064987</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 ca="1">(AG62+AG38-AG71*$D$158)*($D$160-1)</f>
        <v>863.43009072820178</v>
      </c>
      <c r="AH65" s="634">
        <f ca="1">IFERROR(AG65*((AH$35+AH$71)/(AG$35+AG$71)),0)</f>
        <v>2173.5677745895846</v>
      </c>
      <c r="AI65" s="634">
        <f ca="1">IFERROR(AG65*((AI$35+AI$71)/(AG$35+AG$71)),0)</f>
        <v>1460.8424672171409</v>
      </c>
      <c r="AJ65" s="699">
        <f ca="1">(AJ62+AJ38-AJ71*$D$158)*($D$160-1)</f>
        <v>10475.931906294923</v>
      </c>
      <c r="AK65" s="634">
        <f ca="1">IFERROR(AJ65*((AK$35+AK$71)/(AJ$35+AJ$71)),0)</f>
        <v>12271.094960407836</v>
      </c>
      <c r="AL65" s="634">
        <f ca="1">IFERROR(AJ65*((AL$35+AL$71)/(AJ$35+AJ$71)),0)</f>
        <v>12598.812259988419</v>
      </c>
      <c r="AM65" s="309">
        <f ca="1">(AM62+AM38-AM71*$D$158)*($D$160-1)</f>
        <v>15620.931578976957</v>
      </c>
      <c r="AN65" s="634">
        <f ca="1">IFERROR(AM65*((AN$35+AN$71)/(AM$35+AM$71)),0)</f>
        <v>14530.279753735218</v>
      </c>
      <c r="AO65" s="634">
        <f ca="1">IFERROR(AM65*((AO$35+AO$71)/(AM$35+AM$71)),0)</f>
        <v>16828.612144486364</v>
      </c>
      <c r="AP65" s="702">
        <f ca="1">(AP62+AP38-AP71*$D$158)*($D$160-1)</f>
        <v>20229.537543123428</v>
      </c>
      <c r="AQ65" s="634">
        <f ca="1">IFERROR(AP65*((AQ$35+AQ$71)/(AP$35+AP$71)),0)</f>
        <v>18043.555251809852</v>
      </c>
      <c r="AR65" s="634">
        <f ca="1">IFERROR(AP65*((AR$35+AR$71)/(AP$35+AP$71)),0)</f>
        <v>39793.905575349847</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100.30735149969401</v>
      </c>
      <c r="D66" s="339">
        <f>0.86*D65/1000</f>
        <v>104.32991862488419</v>
      </c>
      <c r="E66" s="694">
        <f ca="1">0.86*E65/1000</f>
        <v>114.13795685913644</v>
      </c>
      <c r="F66" s="50"/>
      <c r="G66" s="341" t="s">
        <v>868</v>
      </c>
      <c r="H66" s="342" t="s">
        <v>1167</v>
      </c>
      <c r="I66" s="685">
        <f t="shared" ref="I66:O66" ca="1" si="28">0.86*I65/1000</f>
        <v>19.001009802082365</v>
      </c>
      <c r="J66" s="642">
        <f t="shared" ca="1" si="28"/>
        <v>17.458281368707549</v>
      </c>
      <c r="K66" s="686">
        <f t="shared" ca="1" si="28"/>
        <v>18.713315462437166</v>
      </c>
      <c r="L66" s="703">
        <f t="shared" ca="1" si="28"/>
        <v>16.270867207441263</v>
      </c>
      <c r="M66" s="645">
        <f t="shared" ca="1" si="28"/>
        <v>15.740305066470773</v>
      </c>
      <c r="N66" s="643">
        <f t="shared" ca="1" si="28"/>
        <v>15.904483482721577</v>
      </c>
      <c r="O66" s="690">
        <f t="shared" ca="1" si="28"/>
        <v>13.203351863249893</v>
      </c>
      <c r="P66" s="679">
        <f ca="1">O66*($P$35/$O$35)</f>
        <v>15.997282662385333</v>
      </c>
      <c r="Q66" s="680">
        <f ca="1">O66*($Q$35/$O$35)</f>
        <v>13.561710215516973</v>
      </c>
      <c r="R66" s="704">
        <f t="shared" ref="R66:AR66" ca="1" si="29">0.86*R65/1000</f>
        <v>8.0024273168039688</v>
      </c>
      <c r="S66" s="687">
        <f t="shared" ca="1" si="29"/>
        <v>9.958359559522183</v>
      </c>
      <c r="T66" s="688">
        <f t="shared" ca="1" si="29"/>
        <v>9.5663689883966398</v>
      </c>
      <c r="U66" s="647">
        <f t="shared" ca="1" si="29"/>
        <v>0.29262258153728565</v>
      </c>
      <c r="V66" s="642">
        <f t="shared" ca="1" si="29"/>
        <v>0.78277814497018783</v>
      </c>
      <c r="W66" s="648">
        <f t="shared" ca="1" si="29"/>
        <v>0.43052606475758887</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ca="1" si="29"/>
        <v>0.7425498780262535</v>
      </c>
      <c r="AH66" s="642">
        <f t="shared" ca="1" si="29"/>
        <v>1.8692682861470429</v>
      </c>
      <c r="AI66" s="648">
        <f t="shared" ca="1" si="29"/>
        <v>1.2563245218067411</v>
      </c>
      <c r="AJ66" s="685">
        <f t="shared" ca="1" si="29"/>
        <v>9.0093014394136333</v>
      </c>
      <c r="AK66" s="642">
        <f t="shared" ca="1" si="29"/>
        <v>10.55314166595074</v>
      </c>
      <c r="AL66" s="686">
        <f t="shared" ca="1" si="29"/>
        <v>10.83497854359004</v>
      </c>
      <c r="AM66" s="644">
        <f t="shared" ca="1" si="29"/>
        <v>13.434001157920184</v>
      </c>
      <c r="AN66" s="642">
        <f t="shared" ca="1" si="29"/>
        <v>12.496040588212287</v>
      </c>
      <c r="AO66" s="648">
        <f t="shared" ca="1" si="29"/>
        <v>14.472606444258272</v>
      </c>
      <c r="AP66" s="650">
        <f t="shared" ca="1" si="29"/>
        <v>17.397402287086148</v>
      </c>
      <c r="AQ66" s="642">
        <f t="shared" ca="1" si="29"/>
        <v>15.517457516556473</v>
      </c>
      <c r="AR66" s="648">
        <f t="shared" ca="1" si="29"/>
        <v>34.222758794800868</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8.0110306195326491</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178878.94832930228</v>
      </c>
      <c r="D68" s="634">
        <f>C68*(($D$35+$D$71)/($C$35+$C$71))</f>
        <v>186052.42630653948</v>
      </c>
      <c r="E68" s="634">
        <f ca="1">$C68*(($E$35+$E$71)/($C$35+$C$71))</f>
        <v>203543.18384610009</v>
      </c>
      <c r="F68" s="50"/>
      <c r="G68" s="697" t="s">
        <v>1183</v>
      </c>
      <c r="H68" s="698" t="s">
        <v>837</v>
      </c>
      <c r="I68" s="295">
        <f ca="1">I71*(1-$D$158)</f>
        <v>24645.543992037205</v>
      </c>
      <c r="J68" s="634">
        <f ca="1">I68*((J$35+J$71)/(I$35+I$71))</f>
        <v>22644.525000491882</v>
      </c>
      <c r="K68" s="634">
        <f ca="1">IFERROR(I68*((K$35+K$71)/(I$35+I$71)),0)</f>
        <v>24272.385745299769</v>
      </c>
      <c r="L68" s="311">
        <f ca="1">L71*(1-$D$158)</f>
        <v>22260.491347646508</v>
      </c>
      <c r="M68" s="634">
        <f ca="1">L68*((M$35+M$71)/(L$35+L$71))</f>
        <v>21534.61891577877</v>
      </c>
      <c r="N68" s="634">
        <f ca="1">IFERROR(L68*((N$35+N$71)/(L$35+L$71)),0)</f>
        <v>21759.234614980716</v>
      </c>
      <c r="O68" s="309">
        <f ca="1">O71*(1-$D$158)</f>
        <v>24645.543992037205</v>
      </c>
      <c r="P68" s="634">
        <f ca="1">O68*((P$35+P$71)/(O$35+O$71))</f>
        <v>28767.917305563573</v>
      </c>
      <c r="Q68" s="634">
        <f ca="1">IFERROR(O68*((Q$35+Q$71)/(O$35+O$71)),0)</f>
        <v>25174.292559654641</v>
      </c>
      <c r="R68" s="311">
        <f ca="1">R71*(1-$D$158)</f>
        <v>23850.526443906972</v>
      </c>
      <c r="S68" s="634">
        <f ca="1">R68*((S$35+S$71)/(R$35+R$71))</f>
        <v>29680.009403343865</v>
      </c>
      <c r="T68" s="634">
        <f ca="1">IFERROR(R68*((T$35+T$71)/(R$35+R$71)),0)</f>
        <v>28511.716195261866</v>
      </c>
      <c r="U68" s="706">
        <f ca="1">U71*(1-$D$158)</f>
        <v>11925.263221953486</v>
      </c>
      <c r="V68" s="634">
        <f ca="1">IFERROR(U68*((V$35+V$71)/(U$35+U$71)),0)</f>
        <v>31900.598286439901</v>
      </c>
      <c r="W68" s="634">
        <f ca="1">IFERROR(U68*((W$35+W$71)/(U$35+U$71)),0)</f>
        <v>17545.251016425245</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 ca="1">AG71*(1-$D$158)</f>
        <v>7950.1754813023235</v>
      </c>
      <c r="AH68" s="634">
        <f ca="1">IFERROR(AG68*((AH$35+AH$71)/(AG$35+AG$71)),0)</f>
        <v>20013.48506850985</v>
      </c>
      <c r="AI68" s="634">
        <f ca="1">IFERROR(AG68*((AI$35+AI$71)/(AG$35+AG$71)),0)</f>
        <v>13450.948825654086</v>
      </c>
      <c r="AJ68" s="295">
        <f ca="1">AJ71*(1-$D$158)</f>
        <v>24645.543992037205</v>
      </c>
      <c r="AK68" s="634">
        <f ca="1">IFERROR(AJ68*((AK$35+AK$71)/(AJ$35+AJ$71)),0)</f>
        <v>28868.821731789831</v>
      </c>
      <c r="AL68" s="634">
        <f ca="1">IFERROR(AJ68*((AL$35+AL$71)/(AJ$35+AJ$71)),0)</f>
        <v>29639.80527731208</v>
      </c>
      <c r="AM68" s="295">
        <f ca="1">AM71*(1-$D$158)</f>
        <v>23850.526443906972</v>
      </c>
      <c r="AN68" s="634">
        <f ca="1">IFERROR(AM68*((AN$35+AN$71)/(AM$35+AM$71)),0)</f>
        <v>22185.285157399325</v>
      </c>
      <c r="AO68" s="634">
        <f ca="1">IFERROR(AM68*((AO$35+AO$71)/(AM$35+AM$71)),0)</f>
        <v>25694.450867866391</v>
      </c>
      <c r="AP68" s="708">
        <f ca="1">AP71*(1-$D$158)</f>
        <v>24645.543992037205</v>
      </c>
      <c r="AQ68" s="634">
        <f ca="1">IFERROR(AP68*((AQ$35+AQ$71)/(AP$35+AP$71)),0)</f>
        <v>21982.372744966531</v>
      </c>
      <c r="AR68" s="634">
        <f ca="1">IFERROR(AP68*((AR$35+AR$71)/(AP$35+AP$71)),0)</f>
        <v>48480.715309561805</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153.83589556319998</v>
      </c>
      <c r="D69" s="329">
        <f>0.86*D68/1000</f>
        <v>160.00508662362392</v>
      </c>
      <c r="E69" s="709">
        <f ca="1">0.86*E68/1000</f>
        <v>175.04713810764608</v>
      </c>
      <c r="F69" s="50"/>
      <c r="G69" s="341" t="s">
        <v>868</v>
      </c>
      <c r="H69" s="342" t="s">
        <v>1167</v>
      </c>
      <c r="I69" s="710">
        <f t="shared" ref="I69:AR69" ca="1" si="30">0.86*I68/1000</f>
        <v>21.195167833151995</v>
      </c>
      <c r="J69" s="711">
        <f t="shared" ca="1" si="30"/>
        <v>19.474291500423018</v>
      </c>
      <c r="K69" s="712">
        <f t="shared" ca="1" si="30"/>
        <v>20.874251740957799</v>
      </c>
      <c r="L69" s="703">
        <f t="shared" ca="1" si="30"/>
        <v>19.144022558975998</v>
      </c>
      <c r="M69" s="711">
        <f t="shared" ca="1" si="30"/>
        <v>18.519772267569742</v>
      </c>
      <c r="N69" s="712">
        <f t="shared" ca="1" si="30"/>
        <v>18.712941768883415</v>
      </c>
      <c r="O69" s="644">
        <f t="shared" ca="1" si="30"/>
        <v>21.195167833151995</v>
      </c>
      <c r="P69" s="711">
        <f t="shared" ca="1" si="30"/>
        <v>24.740408882784671</v>
      </c>
      <c r="Q69" s="712">
        <f t="shared" ca="1" si="30"/>
        <v>21.649891601302993</v>
      </c>
      <c r="R69" s="705">
        <f t="shared" ca="1" si="30"/>
        <v>20.511452741759996</v>
      </c>
      <c r="S69" s="711">
        <f t="shared" ca="1" si="30"/>
        <v>25.524808086875723</v>
      </c>
      <c r="T69" s="712">
        <f t="shared" ca="1" si="30"/>
        <v>24.520075927925205</v>
      </c>
      <c r="U69" s="713">
        <f t="shared" ca="1" si="30"/>
        <v>10.255726370879998</v>
      </c>
      <c r="V69" s="642">
        <f t="shared" ca="1" si="30"/>
        <v>27.434514526338312</v>
      </c>
      <c r="W69" s="648">
        <f t="shared" ca="1" si="30"/>
        <v>15.088915874125711</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ca="1" si="30"/>
        <v>6.8371509139199977</v>
      </c>
      <c r="AH69" s="642">
        <f t="shared" ca="1" si="30"/>
        <v>17.211597158918469</v>
      </c>
      <c r="AI69" s="648">
        <f t="shared" ca="1" si="30"/>
        <v>11.567815990062515</v>
      </c>
      <c r="AJ69" s="644">
        <f t="shared" ca="1" si="30"/>
        <v>21.195167833151995</v>
      </c>
      <c r="AK69" s="711">
        <f t="shared" ca="1" si="30"/>
        <v>24.827186689339253</v>
      </c>
      <c r="AL69" s="686">
        <f t="shared" ca="1" si="30"/>
        <v>25.490232538488389</v>
      </c>
      <c r="AM69" s="685">
        <f t="shared" ca="1" si="30"/>
        <v>20.511452741759996</v>
      </c>
      <c r="AN69" s="642">
        <f t="shared" ca="1" si="30"/>
        <v>19.079345235363419</v>
      </c>
      <c r="AO69" s="714">
        <f t="shared" ca="1" si="30"/>
        <v>22.097227746365096</v>
      </c>
      <c r="AP69" s="715">
        <f t="shared" ca="1" si="30"/>
        <v>21.195167833151995</v>
      </c>
      <c r="AQ69" s="642">
        <f t="shared" ca="1" si="30"/>
        <v>18.904840560671214</v>
      </c>
      <c r="AR69" s="714">
        <f t="shared" ca="1" si="30"/>
        <v>41.693415166223154</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12.663126114628096</v>
      </c>
      <c r="D70" s="717">
        <f ca="1">(D68/$E$35)*100</f>
        <v>11.230318848310631</v>
      </c>
      <c r="E70" s="696">
        <f ca="1">(E68/$E$35)*100</f>
        <v>12.286079248576128</v>
      </c>
      <c r="F70" s="50"/>
      <c r="G70" s="324" t="s">
        <v>868</v>
      </c>
      <c r="H70" s="350" t="s">
        <v>1164</v>
      </c>
      <c r="I70" s="718">
        <f t="shared" ref="I70:T70" ca="1" si="31">(I68/I35)*100</f>
        <v>9.2103511738151589</v>
      </c>
      <c r="J70" s="719">
        <f t="shared" ca="1" si="31"/>
        <v>9.3627557024458703</v>
      </c>
      <c r="K70" s="720">
        <f t="shared" ca="1" si="31"/>
        <v>9.2365085754758844</v>
      </c>
      <c r="L70" s="718">
        <f t="shared" ca="1" si="31"/>
        <v>9.7149038844792184</v>
      </c>
      <c r="M70" s="719">
        <f t="shared" ca="1" si="31"/>
        <v>9.7789486709766109</v>
      </c>
      <c r="N70" s="720">
        <f t="shared" ca="1" si="31"/>
        <v>9.7585828012438114</v>
      </c>
      <c r="O70" s="718">
        <f t="shared" ca="1" si="31"/>
        <v>13.254662508949181</v>
      </c>
      <c r="P70" s="719">
        <f t="shared" ca="1" si="31"/>
        <v>12.769581544902564</v>
      </c>
      <c r="Q70" s="720">
        <f t="shared" ca="1" si="31"/>
        <v>13.181270652005377</v>
      </c>
      <c r="R70" s="718">
        <f t="shared" ca="1" si="31"/>
        <v>21.163656008849621</v>
      </c>
      <c r="S70" s="719">
        <f t="shared" ca="1" si="31"/>
        <v>19.539250017820255</v>
      </c>
      <c r="T70" s="720">
        <f t="shared" ca="1" si="31"/>
        <v>19.793952297914103</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357757.89665860456</v>
      </c>
      <c r="D71" s="721">
        <f>C71</f>
        <v>357757.89665860456</v>
      </c>
      <c r="E71" s="722">
        <f>C71</f>
        <v>357757.89665860456</v>
      </c>
      <c r="F71" s="381"/>
      <c r="G71" s="306" t="s">
        <v>1185</v>
      </c>
      <c r="H71" s="308" t="s">
        <v>837</v>
      </c>
      <c r="I71" s="315">
        <f ca="1">$D$150*D152*'Ввод исходных данных'!I273*0.024*$D$159</f>
        <v>49291.087984074409</v>
      </c>
      <c r="J71" s="723">
        <f ca="1">IF('Ввод исходных данных'!D217&lt;&gt;0,I71,0)</f>
        <v>49291.087984074409</v>
      </c>
      <c r="K71" s="670">
        <f ca="1">J71</f>
        <v>49291.087984074409</v>
      </c>
      <c r="L71" s="315">
        <f ca="1">$D$150*D152*'Ввод исходных данных'!I274*0.024*$D$159</f>
        <v>44520.982695293016</v>
      </c>
      <c r="M71" s="723">
        <f ca="1">IF('Ввод исходных данных'!D218&lt;&gt;0,L71,0)</f>
        <v>44520.982695293016</v>
      </c>
      <c r="N71" s="670">
        <f ca="1">M71</f>
        <v>44520.982695293016</v>
      </c>
      <c r="O71" s="315">
        <f ca="1">$D$150*D152*'Ввод исходных данных'!I275*0.024*$D$159</f>
        <v>49291.087984074409</v>
      </c>
      <c r="P71" s="723">
        <f ca="1">IF('Ввод исходных данных'!D219&lt;&gt;0,O71,0)</f>
        <v>49291.087984074409</v>
      </c>
      <c r="Q71" s="670">
        <f ca="1">P71</f>
        <v>49291.087984074409</v>
      </c>
      <c r="R71" s="315">
        <f ca="1">$D$150*D152*'Ввод исходных данных'!I276*0.024*$D$159</f>
        <v>47701.052887813945</v>
      </c>
      <c r="S71" s="723">
        <f ca="1">IF('Ввод исходных данных'!D220&lt;&gt;0,R71,0)</f>
        <v>47701.052887813945</v>
      </c>
      <c r="T71" s="670">
        <f ca="1">S71</f>
        <v>47701.052887813945</v>
      </c>
      <c r="U71" s="315">
        <f ca="1">IF(U38=0,0,$D$150*D152*'Ввод исходных данных'!I277*0.024*$D$159)</f>
        <v>23850.526443906972</v>
      </c>
      <c r="V71" s="723">
        <f ca="1">IF('Ввод исходных данных'!D217&lt;&gt;0,U71,0)</f>
        <v>23850.526443906972</v>
      </c>
      <c r="W71" s="670">
        <f ca="1">V71</f>
        <v>23850.526443906972</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15900.350962604647</v>
      </c>
      <c r="AH71" s="723">
        <f ca="1">IF('Ввод исходных данных'!D224&lt;&gt;0,AG71,0)</f>
        <v>15900.350962604647</v>
      </c>
      <c r="AI71" s="670">
        <f ca="1">AH71</f>
        <v>15900.350962604647</v>
      </c>
      <c r="AJ71" s="315">
        <f ca="1">$D$150*D152*'Ввод исходных данных'!I282*0.024*$D$159</f>
        <v>49291.087984074409</v>
      </c>
      <c r="AK71" s="723">
        <f ca="1">IF('Ввод исходных данных'!D225&lt;&gt;0,AJ71,0)</f>
        <v>49291.087984074409</v>
      </c>
      <c r="AL71" s="670">
        <f ca="1">AK71</f>
        <v>49291.087984074409</v>
      </c>
      <c r="AM71" s="315">
        <f ca="1">$D$150*D152*'Ввод исходных данных'!I283*0.024*$D$159</f>
        <v>47701.052887813945</v>
      </c>
      <c r="AN71" s="723">
        <f ca="1">IF('Ввод исходных данных'!D226&lt;&gt;0,AM71,0)</f>
        <v>47701.052887813945</v>
      </c>
      <c r="AO71" s="670">
        <f ca="1">AN71</f>
        <v>47701.052887813945</v>
      </c>
      <c r="AP71" s="315">
        <f ca="1">$D$150*D152*'Ввод исходных данных'!I284*0.024*$D$159</f>
        <v>49291.087984074409</v>
      </c>
      <c r="AQ71" s="724">
        <f ca="1">IF('Ввод исходных данных'!D227&lt;&gt;0,AP71,0)</f>
        <v>49291.087984074409</v>
      </c>
      <c r="AR71" s="670">
        <f ca="1">AQ71</f>
        <v>49291.087984074409</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307.67179112639997</v>
      </c>
      <c r="D72" s="323">
        <f>0.86*D71/1000</f>
        <v>307.67179112639997</v>
      </c>
      <c r="E72" s="323">
        <f>0.86*E71/1000</f>
        <v>307.67179112639997</v>
      </c>
      <c r="F72" s="50"/>
      <c r="G72" s="324" t="s">
        <v>868</v>
      </c>
      <c r="H72" s="325" t="s">
        <v>1167</v>
      </c>
      <c r="I72" s="327">
        <f t="shared" ref="I72:AR72" ca="1" si="32">0.86*I71/1000</f>
        <v>42.39033566630399</v>
      </c>
      <c r="J72" s="326">
        <f t="shared" ca="1" si="32"/>
        <v>42.39033566630399</v>
      </c>
      <c r="K72" s="725">
        <f t="shared" ca="1" si="32"/>
        <v>42.39033566630399</v>
      </c>
      <c r="L72" s="327">
        <f t="shared" ca="1" si="32"/>
        <v>38.288045117951995</v>
      </c>
      <c r="M72" s="326">
        <f t="shared" ca="1" si="32"/>
        <v>38.288045117951995</v>
      </c>
      <c r="N72" s="725">
        <f t="shared" ca="1" si="32"/>
        <v>38.288045117951995</v>
      </c>
      <c r="O72" s="328">
        <f t="shared" ca="1" si="32"/>
        <v>42.39033566630399</v>
      </c>
      <c r="P72" s="326">
        <f t="shared" ca="1" si="32"/>
        <v>42.39033566630399</v>
      </c>
      <c r="Q72" s="725">
        <f t="shared" ca="1" si="32"/>
        <v>42.39033566630399</v>
      </c>
      <c r="R72" s="329">
        <f t="shared" ca="1" si="32"/>
        <v>41.022905483519992</v>
      </c>
      <c r="S72" s="726">
        <f t="shared" ca="1" si="32"/>
        <v>41.022905483519992</v>
      </c>
      <c r="T72" s="727">
        <f t="shared" ca="1" si="32"/>
        <v>41.022905483519992</v>
      </c>
      <c r="U72" s="330">
        <f t="shared" ca="1" si="32"/>
        <v>20.511452741759996</v>
      </c>
      <c r="V72" s="642">
        <f t="shared" ca="1" si="32"/>
        <v>20.511452741759996</v>
      </c>
      <c r="W72" s="648">
        <f t="shared" ca="1" si="32"/>
        <v>20.511452741759996</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13.674301827839995</v>
      </c>
      <c r="AH72" s="728">
        <f t="shared" ca="1" si="32"/>
        <v>13.674301827839995</v>
      </c>
      <c r="AI72" s="729">
        <f t="shared" ca="1" si="32"/>
        <v>13.674301827839995</v>
      </c>
      <c r="AJ72" s="328">
        <f t="shared" ca="1" si="32"/>
        <v>42.39033566630399</v>
      </c>
      <c r="AK72" s="326">
        <f t="shared" ca="1" si="32"/>
        <v>42.39033566630399</v>
      </c>
      <c r="AL72" s="725">
        <f t="shared" ca="1" si="32"/>
        <v>42.39033566630399</v>
      </c>
      <c r="AM72" s="328">
        <f t="shared" ca="1" si="32"/>
        <v>41.022905483519992</v>
      </c>
      <c r="AN72" s="326">
        <f t="shared" ca="1" si="32"/>
        <v>41.022905483519992</v>
      </c>
      <c r="AO72" s="725">
        <f t="shared" ca="1" si="32"/>
        <v>41.022905483519992</v>
      </c>
      <c r="AP72" s="333">
        <f t="shared" ca="1" si="32"/>
        <v>42.39033566630399</v>
      </c>
      <c r="AQ72" s="402">
        <f t="shared" ca="1" si="32"/>
        <v>42.39033566630399</v>
      </c>
      <c r="AR72" s="730">
        <f t="shared" ca="1" si="32"/>
        <v>42.39033566630399</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70995.511076661758</v>
      </c>
      <c r="E73" s="733">
        <f ca="1">E35-$C$35</f>
        <v>244100.56201282353</v>
      </c>
      <c r="F73" s="50"/>
      <c r="G73" s="306" t="s">
        <v>1190</v>
      </c>
      <c r="H73" s="294" t="s">
        <v>837</v>
      </c>
      <c r="I73" s="335"/>
      <c r="J73" s="572">
        <f ca="1">J35-I35</f>
        <v>-25727.800158524042</v>
      </c>
      <c r="K73" s="570">
        <f ca="1">K35-I35</f>
        <v>-4797.8259277548059</v>
      </c>
      <c r="L73" s="335"/>
      <c r="M73" s="572">
        <f ca="1">M35-L35</f>
        <v>-8923.4856086687068</v>
      </c>
      <c r="N73" s="570">
        <f ca="1">N35-L35</f>
        <v>-6162.1809064743866</v>
      </c>
      <c r="O73" s="335"/>
      <c r="P73" s="734">
        <f ca="1">P35-O35</f>
        <v>39346.053889633418</v>
      </c>
      <c r="Q73" s="574">
        <f ca="1">Q35-O35</f>
        <v>5046.6486301178229</v>
      </c>
      <c r="R73" s="335"/>
      <c r="S73" s="734">
        <f ca="1">S35-R35</f>
        <v>39203.748148368002</v>
      </c>
      <c r="T73" s="574">
        <f ca="1">T35-R35</f>
        <v>31346.881079402461</v>
      </c>
      <c r="U73" s="336"/>
      <c r="V73" s="735">
        <f ca="1">V35-U35</f>
        <v>46853.377676025309</v>
      </c>
      <c r="W73" s="736">
        <f ca="1">W35-U35</f>
        <v>13182.027226025308</v>
      </c>
      <c r="X73" s="335"/>
      <c r="Y73" s="734">
        <f>Y35-X35</f>
        <v>0</v>
      </c>
      <c r="Z73" s="574">
        <f ca="1">Z35-X35</f>
        <v>0</v>
      </c>
      <c r="AA73" s="335"/>
      <c r="AB73" s="734">
        <f>AB35-AA35</f>
        <v>0</v>
      </c>
      <c r="AC73" s="574">
        <f ca="1">AC35-AA35</f>
        <v>0</v>
      </c>
      <c r="AD73" s="358"/>
      <c r="AE73" s="737">
        <f>AE35-AD35</f>
        <v>0</v>
      </c>
      <c r="AF73" s="738">
        <f ca="1">AF35-AD35</f>
        <v>0</v>
      </c>
      <c r="AG73" s="357"/>
      <c r="AH73" s="737">
        <f ca="1">AH35-AG35</f>
        <v>39993.842234514013</v>
      </c>
      <c r="AI73" s="738">
        <f ca="1">AI35-AG35</f>
        <v>18236.874359514008</v>
      </c>
      <c r="AJ73" s="335"/>
      <c r="AK73" s="734">
        <f ca="1">AK35-AJ35</f>
        <v>30187.974690428266</v>
      </c>
      <c r="AL73" s="574">
        <f ca="1">AL35-AJ35</f>
        <v>35698.96240972649</v>
      </c>
      <c r="AM73" s="335"/>
      <c r="AN73" s="734">
        <f ca="1">AN35-AM35</f>
        <v>-16539.48801205412</v>
      </c>
      <c r="AO73" s="574">
        <f ca="1">AO35-AM35</f>
        <v>18314.202363532735</v>
      </c>
      <c r="AP73" s="335"/>
      <c r="AQ73" s="572">
        <f ca="1">AQ35-AP35</f>
        <v>-31801.016911161307</v>
      </c>
      <c r="AR73" s="574">
        <f ca="1">AR35-AP35</f>
        <v>284616.57769201347</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61.056139525929112</v>
      </c>
      <c r="E74" s="621">
        <f ca="1">0.86*E73/1000</f>
        <v>209.92648333102824</v>
      </c>
      <c r="F74" s="50"/>
      <c r="G74" s="341" t="s">
        <v>868</v>
      </c>
      <c r="H74" s="342" t="s">
        <v>1167</v>
      </c>
      <c r="I74" s="344"/>
      <c r="J74" s="343">
        <f ca="1">J36-I36</f>
        <v>-22.163340936330655</v>
      </c>
      <c r="K74" s="739">
        <f ca="1">K36-I36</f>
        <v>-4.1668024747922061</v>
      </c>
      <c r="L74" s="344"/>
      <c r="M74" s="740">
        <f ca="1">M36-L36</f>
        <v>-7.7082806234550674</v>
      </c>
      <c r="N74" s="739">
        <f ca="1">N36-L36</f>
        <v>-5.3339859526087139</v>
      </c>
      <c r="O74" s="344"/>
      <c r="P74" s="741">
        <f ca="1">P36-O36</f>
        <v>33.802738545084736</v>
      </c>
      <c r="Q74" s="742">
        <f ca="1">Q36-O36</f>
        <v>4.3105586142888797</v>
      </c>
      <c r="R74" s="344"/>
      <c r="S74" s="741">
        <f ca="1">S36-R36</f>
        <v>33.691713607596483</v>
      </c>
      <c r="T74" s="742">
        <f ca="1">T36-R36</f>
        <v>26.936023952424065</v>
      </c>
      <c r="U74" s="345"/>
      <c r="V74" s="743">
        <f>V36-U36</f>
        <v>43.83</v>
      </c>
      <c r="W74" s="744">
        <f ca="1">W36-U36</f>
        <v>14.877849999999999</v>
      </c>
      <c r="X74" s="344"/>
      <c r="Y74" s="741">
        <f>Y36-X36</f>
        <v>0</v>
      </c>
      <c r="Z74" s="742">
        <f ca="1">Z36-X36</f>
        <v>0</v>
      </c>
      <c r="AA74" s="344"/>
      <c r="AB74" s="741">
        <f>AB36-AA36</f>
        <v>0</v>
      </c>
      <c r="AC74" s="742">
        <f ca="1">AC36-AA36</f>
        <v>0</v>
      </c>
      <c r="AD74" s="344"/>
      <c r="AE74" s="741">
        <f>AE36-AD36</f>
        <v>0</v>
      </c>
      <c r="AF74" s="742">
        <f ca="1">AF36-AD36</f>
        <v>0</v>
      </c>
      <c r="AG74" s="346"/>
      <c r="AH74" s="741">
        <f>AH36-AG36</f>
        <v>43.38</v>
      </c>
      <c r="AI74" s="742">
        <f ca="1">AI36-AG36</f>
        <v>24.672374999999999</v>
      </c>
      <c r="AJ74" s="344"/>
      <c r="AK74" s="741">
        <f ca="1">AK36-AJ36</f>
        <v>25.937349233768302</v>
      </c>
      <c r="AL74" s="742">
        <f ca="1">AL36-AJ36</f>
        <v>30.675945724996367</v>
      </c>
      <c r="AM74" s="344"/>
      <c r="AN74" s="741">
        <f ca="1">AN36-AM36</f>
        <v>-14.250680690366522</v>
      </c>
      <c r="AO74" s="742">
        <f ca="1">AO36-AM36</f>
        <v>15.718098652356474</v>
      </c>
      <c r="AP74" s="344"/>
      <c r="AQ74" s="343">
        <f ca="1">AQ36-AP36</f>
        <v>-27.381872143598713</v>
      </c>
      <c r="AR74" s="742">
        <f ca="1">AR36-AP36</f>
        <v>244.68828658656011</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5.0258854869898277</v>
      </c>
      <c r="E75" s="745">
        <f ca="1">(E73/$C$35)*100</f>
        <v>17.280268194161945</v>
      </c>
      <c r="F75" s="50"/>
      <c r="G75" s="324" t="s">
        <v>868</v>
      </c>
      <c r="H75" s="350" t="s">
        <v>1164</v>
      </c>
      <c r="I75" s="352"/>
      <c r="J75" s="351">
        <f ca="1">(J73/I35)*100</f>
        <v>-9.6148039769909115</v>
      </c>
      <c r="K75" s="746">
        <f ca="1">(K73/I35)*100</f>
        <v>-1.7930081673074305</v>
      </c>
      <c r="L75" s="352"/>
      <c r="M75" s="747">
        <f ca="1">(M73/L35)*100</f>
        <v>-3.8943796724377076</v>
      </c>
      <c r="N75" s="746">
        <f ca="1">(N73/L35)*100</f>
        <v>-2.6892935241297322</v>
      </c>
      <c r="O75" s="353"/>
      <c r="P75" s="748">
        <f ca="1">IFERROR((P73/O35)*100,0)</f>
        <v>21.160769084038762</v>
      </c>
      <c r="Q75" s="749">
        <f ca="1">IFERROR((Q73/O35)*100,0)</f>
        <v>2.7141468013477259</v>
      </c>
      <c r="R75" s="352"/>
      <c r="S75" s="748">
        <f ca="1">IFERROR((S73/R35)*100,0)</f>
        <v>34.787267359525956</v>
      </c>
      <c r="T75" s="749">
        <f ca="1">IFERROR((T73/R35)*100,0)</f>
        <v>27.815512151274589</v>
      </c>
      <c r="U75" s="354"/>
      <c r="V75" s="748">
        <f ca="1">IFERROR((V73/U35)*100,0)</f>
        <v>1136.966137411883</v>
      </c>
      <c r="W75" s="749">
        <f ca="1">IFERROR((W73/U35)*100,0)</f>
        <v>319.88128331036688</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 ca="1">IFERROR((AH73/AG35)*100,0)</f>
        <v>382.45642463547631</v>
      </c>
      <c r="AI75" s="749">
        <f ca="1">IFERROR((AI73/AG35)*100,0)</f>
        <v>174.39709151142713</v>
      </c>
      <c r="AJ75" s="352"/>
      <c r="AK75" s="748">
        <f ca="1">IFERROR((AK73/AJ35)*100,0)</f>
        <v>23.793444711915061</v>
      </c>
      <c r="AL75" s="749">
        <f ca="1">IFERROR((AL73/AJ35)*100,0)</f>
        <v>28.137074350929609</v>
      </c>
      <c r="AM75" s="352"/>
      <c r="AN75" s="748">
        <f ca="1">IFERROR((AN73/AM35)*100,0)</f>
        <v>-8.742409453981308</v>
      </c>
      <c r="AO75" s="749">
        <f ca="1">IFERROR((AO73/AM35)*100,0)</f>
        <v>9.6804844121163658</v>
      </c>
      <c r="AP75" s="352"/>
      <c r="AQ75" s="351">
        <f ca="1">(AQ73/AP35)*100</f>
        <v>-12.979891571613452</v>
      </c>
      <c r="AR75" s="750">
        <f ca="1">(AR73/AP35)*100</f>
        <v>116.16899950861111</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186.70081930232726</v>
      </c>
      <c r="D76" s="634">
        <f>D35/('Ввод исходных данных'!$G$56+'Ввод исходных данных'!$D$23)</f>
        <v>196.08418868373403</v>
      </c>
      <c r="E76" s="754">
        <f ca="1">E35/('Ввод исходных данных'!$G$56+'Ввод исходных данных'!$D$23)</f>
        <v>218.96322159846707</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0.16056270460000144</v>
      </c>
      <c r="D77" s="360">
        <f>D76*0.86/1000</f>
        <v>0.16863240226801124</v>
      </c>
      <c r="E77" s="763">
        <f ca="1">E76*0.86/1000</f>
        <v>0.18830837057468167</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1101873.8205456617</v>
      </c>
      <c r="B80" s="370">
        <f>C62</f>
        <v>372965.74147477641</v>
      </c>
      <c r="C80" s="370">
        <f>C65</f>
        <v>116636.45523220234</v>
      </c>
      <c r="D80" s="371">
        <f>C68</f>
        <v>178878.94832930228</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92" t="s">
        <v>1193</v>
      </c>
      <c r="B82" s="2492"/>
      <c r="C82" s="2492"/>
      <c r="D82" s="2492"/>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81" t="s">
        <v>829</v>
      </c>
      <c r="B83" s="2458" t="s">
        <v>1157</v>
      </c>
      <c r="C83" s="2485" t="s">
        <v>1158</v>
      </c>
      <c r="D83" s="2464" t="s">
        <v>1159</v>
      </c>
      <c r="E83" s="50"/>
      <c r="F83" s="50"/>
      <c r="G83" s="2456" t="s">
        <v>829</v>
      </c>
      <c r="H83" s="2458" t="s">
        <v>1157</v>
      </c>
      <c r="I83" s="2466" t="s">
        <v>488</v>
      </c>
      <c r="J83" s="2468"/>
      <c r="K83" s="2466" t="s">
        <v>489</v>
      </c>
      <c r="L83" s="2468"/>
      <c r="M83" s="2466" t="s">
        <v>490</v>
      </c>
      <c r="N83" s="2468"/>
      <c r="O83" s="2466" t="s">
        <v>491</v>
      </c>
      <c r="P83" s="2468"/>
      <c r="Q83" s="2466" t="s">
        <v>800</v>
      </c>
      <c r="R83" s="2468"/>
      <c r="S83" s="2466" t="s">
        <v>801</v>
      </c>
      <c r="T83" s="2468"/>
      <c r="U83" s="2466" t="s">
        <v>802</v>
      </c>
      <c r="V83" s="2468"/>
      <c r="W83" s="2466" t="s">
        <v>803</v>
      </c>
      <c r="X83" s="2468"/>
      <c r="Y83" s="2466" t="s">
        <v>804</v>
      </c>
      <c r="Z83" s="2468"/>
      <c r="AA83" s="2466" t="s">
        <v>482</v>
      </c>
      <c r="AB83" s="2468"/>
      <c r="AC83" s="2466" t="s">
        <v>486</v>
      </c>
      <c r="AD83" s="2468"/>
      <c r="AE83" s="2466" t="s">
        <v>487</v>
      </c>
      <c r="AF83" s="2468"/>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82"/>
      <c r="B84" s="2459"/>
      <c r="C84" s="2486"/>
      <c r="D84" s="2465"/>
      <c r="E84" s="50"/>
      <c r="F84" s="50"/>
      <c r="G84" s="2457"/>
      <c r="H84" s="2459"/>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877099.59425242513</v>
      </c>
      <c r="D85" s="769">
        <f>IF('Система ГВС'!F3=2,0,D86*1163)</f>
        <v>749611.64999999991</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51637.970118444653</v>
      </c>
      <c r="J85" s="773">
        <f>J86*1163*'Система ГВС'!$H$4</f>
        <v>71512.87</v>
      </c>
      <c r="K85" s="772">
        <f>(0.024* (H169*($D$176-IF(H148&gt;=0.8*H167,$D$177,списки!$C$61))*1*$D$179)/(3.6*24*$D$181))*(H172*$D$178+H148+(H172-H148))*(1-0.4*'Ввод исходных данных'!$D$21/'Ввод исходных данных'!$D$20)*'Ввод исходных данных'!$G$56*'Система ГВС'!$H$4</f>
        <v>46640.747203756466</v>
      </c>
      <c r="L85" s="773">
        <f>L86*1163*'Система ГВС'!$H$4</f>
        <v>64465.09</v>
      </c>
      <c r="M85" s="772">
        <f>(0.024* (I169*($D$176-IF(I148&gt;=0.8*I167,$D$177,списки!$C$61))*1*$D$179)/(3.6*24*$D$181))*(I172*$D$178+I148+(I172-I148))*(1-0.4*'Ввод исходных данных'!$D$21/'Ввод исходных данных'!$D$20)*'Ввод исходных данных'!$G$56*'Система ГВС'!$H$4</f>
        <v>51637.970118444653</v>
      </c>
      <c r="N85" s="774">
        <f>N86*1163*'Система ГВС'!$H$4</f>
        <v>81689.119999999995</v>
      </c>
      <c r="O85" s="772">
        <f>(0.024* (J169*($D$176-IF(J148&gt;=0.8*J167,$D$177,списки!$C$61))*1*$D$179)/(3.6*24*$D$181))*(J172*$D$178+J148+(J172-J148))*(1-0.4*'Ввод исходных данных'!$D$21/'Ввод исходных данных'!$D$20)*'Ввод исходных данных'!$G$56*'Система ГВС'!$H$4</f>
        <v>49972.229146881924</v>
      </c>
      <c r="P85" s="773">
        <f>P86*1163*'Система ГВС'!$H$4</f>
        <v>73292.260000000009</v>
      </c>
      <c r="Q85" s="772">
        <f>(0.024* (K169*($D$176-IF(K148&gt;=0.8*K167,$D$177,списки!$C$61))*1*$D$179)/(3.6*24*$D$181))*(K172*$D$178+K148+(K172-K148))*(1-0.4*'Ввод исходных данных'!$D$21/'Ввод исходных данных'!$D$20)*'Ввод исходных данных'!$G$56*'Система ГВС'!$H$4</f>
        <v>38024.323450854696</v>
      </c>
      <c r="R85" s="775">
        <f>R86*1163*'Система ГВС'!$H$4</f>
        <v>72920.100000000006</v>
      </c>
      <c r="S85" s="772">
        <f>(0.024* (L169*($D$176-IF(L148&gt;=0.8*L167,$D$177,списки!$C$61))*1*$D$179)/(3.6*24*$D$181))*(L172*$D$178+L148+(L172-L148))*(1-0.4*'Ввод исходных данных'!$D$21/'Ввод исходных данных'!$D$20)*'Ввод исходных данных'!$G$56*'Система ГВС'!$H$4</f>
        <v>23305.23050213675</v>
      </c>
      <c r="T85" s="775">
        <f>T86*1163*'Система ГВС'!$H$4</f>
        <v>44542.899999999994</v>
      </c>
      <c r="U85" s="772">
        <f>(0.024* (M169*($D$176-IF(M148&gt;=0.8*M167,$D$177,списки!$C$61))*1*$D$179)/(3.6*24*$D$181))*(M172*$D$178+M148+(M172-M148))*(1-0.4*'Ввод исходных данных'!$D$21/'Ввод исходных данных'!$D$20)*'Ввод исходных данных'!$G$56*'Система ГВС'!$H$4</f>
        <v>23305.23050213675</v>
      </c>
      <c r="V85" s="774">
        <f>V86*1163*'Система ГВС'!$H$4</f>
        <v>33238.54</v>
      </c>
      <c r="W85" s="772">
        <f>(0.024* (N169*($D$176-IF(N148&gt;=0.8*N167,$D$177,списки!$C$61))*1*$D$179)/(3.6*24*$D$181))*(N172*$D$178+N148+(N172-N148))*(1-0.4*'Ввод исходных данных'!$D$21/'Ввод исходных данных'!$D$20)*'Ввод исходных данных'!$G$56*'Система ГВС'!$H$4</f>
        <v>18398.866185897434</v>
      </c>
      <c r="X85" s="773">
        <f>X86*1163*'Система ГВС'!$H$4</f>
        <v>31226.550000000003</v>
      </c>
      <c r="Y85" s="772">
        <f>(0.024* (O169*($D$176-IF(G148&gt;=0.8*O167,$D$177,списки!$C$61))*1*$D$179)/(3.6*24*$D$181))*(O172*$D$178+O148+(O172-O148))*(1-0.4*'Ввод исходных данных'!$D$21/'Ввод исходных данных'!$D$20)*'Ввод исходных данных'!$G$56*'Система ГВС'!$H$4</f>
        <v>44975.006232193729</v>
      </c>
      <c r="Z85" s="773">
        <f>Z86*1163*'Система ГВС'!$H$4</f>
        <v>70652.25</v>
      </c>
      <c r="AA85" s="772">
        <f>(0.024* (P169*($D$176-IF(P148&gt;=0.8*P167,$D$177,списки!$C$61))*1*$D$179)/(3.6*24*$D$181))*(P172*$D$178+P148+(P172-P148))*(1-0.4*'Ввод исходных данных'!$D$21/'Ввод исходных данных'!$D$20)*'Ввод исходных данных'!$G$56*'Система ГВС'!$H$4</f>
        <v>51637.970118444653</v>
      </c>
      <c r="AB85" s="773">
        <f>AB86*1163*'Система ГВС'!$H$4</f>
        <v>69431.100000000006</v>
      </c>
      <c r="AC85" s="772">
        <f>(0.024* (Q169*($D$176-IF(Q148&gt;=0.8*Q167,$D$177,списки!$C$61))*1*$D$179)/(3.6*24*$D$181))*(Q172*$D$178+Q148+(Q172-Q148))*(1-0.4*'Ввод исходных данных'!$D$21/'Ввод исходных данных'!$D$20)*'Ввод исходных данных'!$G$56*'Система ГВС'!$H$4</f>
        <v>49972.229146881924</v>
      </c>
      <c r="AD85" s="773">
        <f>AD86*1163*'Система ГВС'!$H$4</f>
        <v>67058.58</v>
      </c>
      <c r="AE85" s="772">
        <f>(0.024* (R169*($D$176-IF(R148&gt;=0.8*R167,$D$177,списки!$C$61))*1*$D$179)/(3.6*24*$D$181))*(R172*$D$178+R148+(R172-R148))*(1-0.4*'Ввод исходных данных'!$D$21/'Ввод исходных данных'!$D$20)*'Ввод исходных данных'!$G$56*'Система ГВС'!$H$4</f>
        <v>51637.970118444653</v>
      </c>
      <c r="AF85" s="773">
        <f>AF86*1163*'Система ГВС'!$H$4</f>
        <v>69582.289999999994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754.30565105708558</v>
      </c>
      <c r="D86" s="778">
        <f>IF('Система ГВС'!F3=2,0,'Ввод исходных данных'!K229)</f>
        <v>644.54999999999995</v>
      </c>
      <c r="E86" s="50"/>
      <c r="F86" s="50"/>
      <c r="G86" s="506" t="s">
        <v>868</v>
      </c>
      <c r="H86" s="507" t="s">
        <v>1167</v>
      </c>
      <c r="I86" s="327">
        <f>0.86*I85/1000</f>
        <v>44.408654301862398</v>
      </c>
      <c r="J86" s="779">
        <f>'Ввод исходных данных'!K217*'Система ГВС'!$H$4</f>
        <v>61.49</v>
      </c>
      <c r="K86" s="327">
        <f>0.86*K85/1000</f>
        <v>40.111042595230558</v>
      </c>
      <c r="L86" s="779">
        <f>'Ввод исходных данных'!K218*'Система ГВС'!$H$4</f>
        <v>55.43</v>
      </c>
      <c r="M86" s="780">
        <f>0.86*M85/1000</f>
        <v>44.408654301862398</v>
      </c>
      <c r="N86" s="781">
        <f>'Ввод исходных данных'!K219*'Система ГВС'!$H$4</f>
        <v>70.239999999999995</v>
      </c>
      <c r="O86" s="327">
        <f>0.86*O85/1000</f>
        <v>42.976117066318452</v>
      </c>
      <c r="P86" s="779">
        <f>'Ввод исходных данных'!K220*'Система ГВС'!$H$4</f>
        <v>63.02</v>
      </c>
      <c r="Q86" s="780">
        <f>0.86*Q85/1000</f>
        <v>32.70091816773504</v>
      </c>
      <c r="R86" s="782">
        <f>'Ввод исходных данных'!K221*'Система ГВС'!$H$4</f>
        <v>62.7</v>
      </c>
      <c r="S86" s="726">
        <f>0.86*S85/1000</f>
        <v>20.042498231837605</v>
      </c>
      <c r="T86" s="783">
        <f>'Ввод исходных данных'!K222*'Система ГВС'!$H$4</f>
        <v>38.299999999999997</v>
      </c>
      <c r="U86" s="726">
        <f>0.86*U85/1000</f>
        <v>20.042498231837605</v>
      </c>
      <c r="V86" s="784">
        <f>'Ввод исходных данных'!K223*'Система ГВС'!$H$4</f>
        <v>28.58</v>
      </c>
      <c r="W86" s="328">
        <f>0.86*W85/1000</f>
        <v>15.823024919871791</v>
      </c>
      <c r="X86" s="564">
        <f>'Ввод исходных данных'!K224*'Система ГВС'!$H$4</f>
        <v>26.85</v>
      </c>
      <c r="Y86" s="328">
        <f>0.86*Y85/1000</f>
        <v>38.678505359686604</v>
      </c>
      <c r="Z86" s="564">
        <f>'Ввод исходных данных'!K225*'Система ГВС'!$H$4</f>
        <v>60.75</v>
      </c>
      <c r="AA86" s="328">
        <f>0.86*AA85/1000</f>
        <v>44.408654301862398</v>
      </c>
      <c r="AB86" s="564">
        <f>'Ввод исходных данных'!K226*'Система ГВС'!$H$4</f>
        <v>59.7</v>
      </c>
      <c r="AC86" s="328">
        <f>0.86*AC85/1000</f>
        <v>42.976117066318452</v>
      </c>
      <c r="AD86" s="785">
        <f>'Ввод исходных данных'!K227*'Система ГВС'!$H$4</f>
        <v>57.66</v>
      </c>
      <c r="AE86" s="327">
        <f>0.86*AE85/1000</f>
        <v>44.408654301862398</v>
      </c>
      <c r="AF86" s="785">
        <f>'Ввод исходных данных'!K228*'Система ГВС'!$H$4</f>
        <v>59.83</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D85-C85</f>
        <v>-127487.94425242522</v>
      </c>
      <c r="E87" s="50"/>
      <c r="F87" s="50"/>
      <c r="G87" s="790" t="s">
        <v>1198</v>
      </c>
      <c r="H87" s="771" t="s">
        <v>837</v>
      </c>
      <c r="I87" s="791"/>
      <c r="J87" s="792">
        <f>J85-I85</f>
        <v>19874.899881555342</v>
      </c>
      <c r="K87" s="791"/>
      <c r="L87" s="792">
        <f>L85-K85</f>
        <v>17824.342796243531</v>
      </c>
      <c r="M87" s="791"/>
      <c r="N87" s="792">
        <f>N85-M85</f>
        <v>30051.149881555342</v>
      </c>
      <c r="O87" s="791"/>
      <c r="P87" s="792">
        <f>P85-O85</f>
        <v>23320.030853118085</v>
      </c>
      <c r="Q87" s="791"/>
      <c r="R87" s="792">
        <f>R85-Q85</f>
        <v>34895.77654914531</v>
      </c>
      <c r="S87" s="791"/>
      <c r="T87" s="792">
        <f>T85-S85</f>
        <v>21237.669497863244</v>
      </c>
      <c r="U87" s="791"/>
      <c r="V87" s="792">
        <f>V85-U85</f>
        <v>9933.3094978632507</v>
      </c>
      <c r="W87" s="791"/>
      <c r="X87" s="792">
        <f>X85-W85</f>
        <v>12827.683814102569</v>
      </c>
      <c r="Y87" s="791"/>
      <c r="Z87" s="792">
        <f>Z85-Y85</f>
        <v>25677.243767806271</v>
      </c>
      <c r="AA87" s="791"/>
      <c r="AB87" s="792">
        <f>AB85-AA85</f>
        <v>17793.129881555353</v>
      </c>
      <c r="AC87" s="791"/>
      <c r="AD87" s="792">
        <f>AD85-AC85</f>
        <v>17086.350853118078</v>
      </c>
      <c r="AE87" s="791"/>
      <c r="AF87" s="792">
        <f>AF85-AE85</f>
        <v>17944.319881555341</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D86-C86</f>
        <v>-109.75565105708563</v>
      </c>
      <c r="E88" s="50"/>
      <c r="F88" s="50"/>
      <c r="G88" s="795" t="s">
        <v>868</v>
      </c>
      <c r="H88" s="796" t="s">
        <v>1167</v>
      </c>
      <c r="I88" s="580"/>
      <c r="J88" s="577">
        <f>J86-I86</f>
        <v>17.081345698137604</v>
      </c>
      <c r="K88" s="580"/>
      <c r="L88" s="577">
        <f>L86-K86</f>
        <v>15.318957404769442</v>
      </c>
      <c r="M88" s="580"/>
      <c r="N88" s="577">
        <f>N86-M86</f>
        <v>25.831345698137596</v>
      </c>
      <c r="O88" s="580"/>
      <c r="P88" s="577">
        <f>P86-O86</f>
        <v>20.043882933681552</v>
      </c>
      <c r="Q88" s="580"/>
      <c r="R88" s="577">
        <f>R86-Q86</f>
        <v>29.999081832264963</v>
      </c>
      <c r="S88" s="580"/>
      <c r="T88" s="577">
        <f>T86-S86</f>
        <v>18.257501768162392</v>
      </c>
      <c r="U88" s="580"/>
      <c r="V88" s="577">
        <f>V86-U86</f>
        <v>8.537501768162393</v>
      </c>
      <c r="W88" s="580"/>
      <c r="X88" s="577">
        <f>X86-W86</f>
        <v>11.02697508012821</v>
      </c>
      <c r="Y88" s="580"/>
      <c r="Z88" s="577">
        <f>Z86-Y86</f>
        <v>22.071494640313396</v>
      </c>
      <c r="AA88" s="580"/>
      <c r="AB88" s="577">
        <f>AB86-AA86</f>
        <v>15.291345698137604</v>
      </c>
      <c r="AC88" s="580"/>
      <c r="AD88" s="577">
        <f>AD86-AC86</f>
        <v>14.683882933681545</v>
      </c>
      <c r="AE88" s="580"/>
      <c r="AF88" s="577">
        <f>AF86-AE86</f>
        <v>15.4213456981376</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IF('Система ГВС'!F3=2,0,(D87/C85)*100)</f>
        <v>-14.535173096401502</v>
      </c>
      <c r="E89" s="50"/>
      <c r="F89" s="50"/>
      <c r="G89" s="506" t="s">
        <v>868</v>
      </c>
      <c r="H89" s="507" t="s">
        <v>1164</v>
      </c>
      <c r="I89" s="592"/>
      <c r="J89" s="799">
        <f>(J87/I85)*100</f>
        <v>38.488925563819159</v>
      </c>
      <c r="K89" s="592"/>
      <c r="L89" s="799">
        <f>(L87/K85)*100</f>
        <v>38.216246232881858</v>
      </c>
      <c r="M89" s="592"/>
      <c r="N89" s="799">
        <f>(N87/M85)*100</f>
        <v>58.195838861646735</v>
      </c>
      <c r="O89" s="592"/>
      <c r="P89" s="799">
        <f>(P87/O85)*100</f>
        <v>46.665980788197771</v>
      </c>
      <c r="Q89" s="592"/>
      <c r="R89" s="799">
        <f>(R87/Q85)*100</f>
        <v>91.772248345843849</v>
      </c>
      <c r="S89" s="592"/>
      <c r="T89" s="799">
        <f>(T87/S85)*100</f>
        <v>91.128339176546916</v>
      </c>
      <c r="U89" s="592"/>
      <c r="V89" s="799">
        <f>(V87/U85)*100</f>
        <v>42.622661453412839</v>
      </c>
      <c r="W89" s="592"/>
      <c r="X89" s="799">
        <f>(X87/W85)*100</f>
        <v>69.719969070348881</v>
      </c>
      <c r="Y89" s="592"/>
      <c r="Z89" s="799">
        <f>(Z87/Y85)*100</f>
        <v>57.092251716968399</v>
      </c>
      <c r="AA89" s="592"/>
      <c r="AB89" s="799">
        <f>(AB87/AA85)*100</f>
        <v>34.457454157749304</v>
      </c>
      <c r="AC89" s="592"/>
      <c r="AD89" s="799">
        <f>(AD87/AC85)*100</f>
        <v>34.19169235556145</v>
      </c>
      <c r="AE89" s="592"/>
      <c r="AF89" s="799">
        <f>(AF87/AE85)*100</f>
        <v>34.750242583888436</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6560.51</v>
      </c>
      <c r="D90" s="803">
        <f>IF('Система ГВС'!F3=2,0,'Ввод исходных данных'!F248)</f>
        <v>3156.35</v>
      </c>
      <c r="E90" s="50"/>
      <c r="F90" s="285"/>
      <c r="G90" s="804" t="s">
        <v>1202</v>
      </c>
      <c r="H90" s="801" t="s">
        <v>1306</v>
      </c>
      <c r="I90" s="805">
        <f>G169*G172*'Ввод исходных данных'!$D$22/1000*(1-0.4*'Ввод исходных данных'!D21/'Ввод исходных данных'!D20)*'Система ГВС'!$H$4</f>
        <v>643.79806900918004</v>
      </c>
      <c r="J90" s="806">
        <f>'Ввод исходных данных'!F236*'Система ГВС'!$H$4</f>
        <v>307.52</v>
      </c>
      <c r="K90" s="805">
        <f>H169*H167*'Ввод исходных данных'!$D$22/1000*(1-0.4*'Ввод исходных данных'!D21/'Ввод исходных данных'!D20)*'Система ГВС'!$H$4</f>
        <v>581.49503007280794</v>
      </c>
      <c r="L90" s="806">
        <f>'Ввод исходных данных'!$F$237*'Система ГВС'!$H$4</f>
        <v>261.94</v>
      </c>
      <c r="M90" s="805">
        <f>I169*I167*'Ввод исходных данных'!$D$22/1000*(1-0.4*'Ввод исходных данных'!D21/'Ввод исходных данных'!D20)*'Система ГВС'!$H$4</f>
        <v>643.79806900918004</v>
      </c>
      <c r="N90" s="806">
        <f>'Ввод исходных данных'!$F$238*'Система ГВС'!$H$4</f>
        <v>362.03</v>
      </c>
      <c r="O90" s="805">
        <f>J169*J167*'Ввод исходных данных'!$D$22/1000*(1-0.4*'Ввод исходных данных'!D21/'Ввод исходных данных'!D20)*'Система ГВС'!$H$4</f>
        <v>623.03038936372275</v>
      </c>
      <c r="P90" s="806">
        <f>'Ввод исходных данных'!$F$239*'Система ГВС'!$H$4</f>
        <v>345.65</v>
      </c>
      <c r="Q90" s="805">
        <f>K169*K167*'Ввод исходных данных'!$D$22/1000*(1-0.4*'Ввод исходных данных'!D21/'Ввод исходных данных'!D20)*'Система ГВС'!$H$4</f>
        <v>579.41826210826207</v>
      </c>
      <c r="R90" s="806">
        <f>'Ввод исходных данных'!$F$240*'Система ГВС'!$H$4</f>
        <v>272.89</v>
      </c>
      <c r="S90" s="805">
        <f>L169*L167*'Ввод исходных данных'!$D$22/1000*(1-0.4*'Ввод исходных данных'!D21/'Ввод исходных данных'!D20)*'Система ГВС'!$H$4</f>
        <v>560.72735042735042</v>
      </c>
      <c r="T90" s="806">
        <f>'Ввод исходных данных'!$F$241*'Система ГВС'!$H$4</f>
        <v>166.56</v>
      </c>
      <c r="U90" s="805">
        <f>M169*M172*'Ввод исходных данных'!$D$22/1000*(1-0.4*'Ввод исходных данных'!D21/'Ввод исходных данных'!D20)*'Система ГВС'!$H$4</f>
        <v>355.12732193732194</v>
      </c>
      <c r="V90" s="806">
        <f>'Ввод исходных данных'!$F$242*'Система ГВС'!$H$4</f>
        <v>120.38</v>
      </c>
      <c r="W90" s="805">
        <f>N169*N167*'Ввод исходных данных'!$D$22/1000*(1-0.4*'Ввод исходных данных'!D21/'Ввод исходных данных'!D20)*'Система ГВС'!$H$4</f>
        <v>579.41826210826207</v>
      </c>
      <c r="X90" s="807">
        <f>'Ввод исходных данных'!$F$243*'Система ГВС'!$H$4</f>
        <v>126.81</v>
      </c>
      <c r="Y90" s="805">
        <f>O169*O167*'Ввод исходных данных'!$D$22/1000*(1-0.4*'Ввод исходных данных'!D21/'Ввод исходных данных'!D20)*'Система ГВС'!$H$4</f>
        <v>560.72735042735042</v>
      </c>
      <c r="Z90" s="808">
        <f>'Ввод исходных данных'!$F$244*'Система ГВС'!$H$4</f>
        <v>299.12</v>
      </c>
      <c r="AA90" s="805">
        <f>P169*P167*'Ввод исходных данных'!$D$22/1000*(1-0.4*'Ввод исходных данных'!D21/'Ввод исходных данных'!D20)*'Система ГВС'!$H$4</f>
        <v>643.79806900918004</v>
      </c>
      <c r="AB90" s="807">
        <f>'Ввод исходных данных'!$F$245*'Система ГВС'!$H$4</f>
        <v>306.26</v>
      </c>
      <c r="AC90" s="805">
        <f>Q169*Q167*'Ввод исходных данных'!$D$22/1000*(1-0.4*'Ввод исходных данных'!D21/'Ввод исходных данных'!D20)*'Система ГВС'!$H$4</f>
        <v>623.03038936372275</v>
      </c>
      <c r="AD90" s="809">
        <f>'Ввод исходных данных'!$F$246*'Система ГВС'!$H$4</f>
        <v>281.98</v>
      </c>
      <c r="AE90" s="805">
        <f>R169*R167*'Ввод исходных данных'!$D$22/1000*(1-0.4*'Ввод исходных данных'!D21/'Ввод исходных данных'!D20)*'Система ГВС'!$H$4</f>
        <v>643.79806900918004</v>
      </c>
      <c r="AF90" s="626">
        <f>'Ввод исходных данных'!$F$247*'Система ГВС'!$H$4</f>
        <v>305.20999999999998</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-3404.1600000000003</v>
      </c>
      <c r="E91" s="50"/>
      <c r="F91" s="50"/>
      <c r="G91" s="790" t="s">
        <v>1203</v>
      </c>
      <c r="H91" s="771" t="s">
        <v>1200</v>
      </c>
      <c r="I91" s="812"/>
      <c r="J91" s="792">
        <f>J90-I90</f>
        <v>-336.27806900918006</v>
      </c>
      <c r="K91" s="812"/>
      <c r="L91" s="792">
        <f>L90-K90</f>
        <v>-319.55503007280794</v>
      </c>
      <c r="M91" s="812"/>
      <c r="N91" s="792">
        <f>N90-M90</f>
        <v>-281.76806900918007</v>
      </c>
      <c r="O91" s="812"/>
      <c r="P91" s="792">
        <f>P90-O90</f>
        <v>-277.38038936372277</v>
      </c>
      <c r="Q91" s="791"/>
      <c r="R91" s="792">
        <f>R90-Q90</f>
        <v>-306.52826210826208</v>
      </c>
      <c r="S91" s="812"/>
      <c r="T91" s="792">
        <f>T90-S90</f>
        <v>-394.16735042735041</v>
      </c>
      <c r="U91" s="791"/>
      <c r="V91" s="792">
        <f>V90-U90</f>
        <v>-234.74732193732194</v>
      </c>
      <c r="W91" s="791"/>
      <c r="X91" s="792">
        <f>X90-W90</f>
        <v>-452.60826210826207</v>
      </c>
      <c r="Y91" s="791"/>
      <c r="Z91" s="792">
        <f>Z90-Y90</f>
        <v>-261.60735042735041</v>
      </c>
      <c r="AA91" s="812"/>
      <c r="AB91" s="813">
        <f>AB90-AA90</f>
        <v>-337.53806900918005</v>
      </c>
      <c r="AC91" s="97"/>
      <c r="AD91" s="814">
        <f>AD90-AC90</f>
        <v>-341.05038936372273</v>
      </c>
      <c r="AE91" s="791"/>
      <c r="AF91" s="792">
        <f>AF90-AE90</f>
        <v>-338.58806900918006</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-51.888648900771436</v>
      </c>
      <c r="E92" s="50"/>
      <c r="F92" s="50"/>
      <c r="G92" s="506" t="s">
        <v>868</v>
      </c>
      <c r="H92" s="507" t="s">
        <v>1164</v>
      </c>
      <c r="I92" s="584"/>
      <c r="J92" s="816">
        <f>(J91/I90)*100</f>
        <v>-52.233469654036035</v>
      </c>
      <c r="K92" s="584"/>
      <c r="L92" s="816">
        <f>(L91/K90)*100</f>
        <v>-54.954043207006777</v>
      </c>
      <c r="M92" s="584"/>
      <c r="N92" s="816">
        <f>(N91/M90)*100</f>
        <v>-43.766529067542493</v>
      </c>
      <c r="O92" s="584"/>
      <c r="P92" s="816">
        <f>(P91/O90)*100</f>
        <v>-44.521165275260621</v>
      </c>
      <c r="Q92" s="592"/>
      <c r="R92" s="799">
        <f>(R91/Q90)*100</f>
        <v>-52.90276164112143</v>
      </c>
      <c r="S92" s="584"/>
      <c r="T92" s="799">
        <f>(T91/S90)*100</f>
        <v>-70.295723960484779</v>
      </c>
      <c r="U92" s="592"/>
      <c r="V92" s="799">
        <f>(V91/U90)*100</f>
        <v>-66.102298369133521</v>
      </c>
      <c r="W92" s="592"/>
      <c r="X92" s="799">
        <f>(X91/W90)*100</f>
        <v>-78.114255574446148</v>
      </c>
      <c r="Y92" s="592"/>
      <c r="Z92" s="799">
        <f>(Z91/Y90)*100</f>
        <v>-46.655000906941687</v>
      </c>
      <c r="AA92" s="584"/>
      <c r="AB92" s="799">
        <f>(AB91/AA90)*100</f>
        <v>-52.429183195385917</v>
      </c>
      <c r="AC92" s="582"/>
      <c r="AD92" s="799">
        <f>(AD91/AC90)*100</f>
        <v>-54.740570473941816</v>
      </c>
      <c r="AE92" s="592"/>
      <c r="AF92" s="799">
        <f>(AF91/AE90)*100</f>
        <v>-52.592277813177482</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115.92492753894676</v>
      </c>
      <c r="D93" s="818">
        <f>D85/('Ввод исходных данных'!$G$56+'Ввод исходных данных'!$D$23)</f>
        <v>99.075038659282839</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9.9695437683494217E-2</v>
      </c>
      <c r="D94" s="820">
        <f>D86/('Ввод исходных данных'!$G$56+'Ввод исходных данных'!D23)</f>
        <v>8.5189199191128842E-2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80.494882346734201</v>
      </c>
      <c r="D95" s="824">
        <f>D90*1000/(365*'Ввод исходных данных'!$D$22)</f>
        <v>33.517574599129233</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7" t="s">
        <v>1169</v>
      </c>
      <c r="B97" s="2487"/>
      <c r="C97" s="2487"/>
      <c r="D97" s="2487"/>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56" t="s">
        <v>829</v>
      </c>
      <c r="B98" s="2473" t="s">
        <v>1157</v>
      </c>
      <c r="C98" s="2475" t="s">
        <v>1158</v>
      </c>
      <c r="D98" s="2477" t="s">
        <v>1159</v>
      </c>
      <c r="E98" s="50"/>
      <c r="F98" s="50"/>
      <c r="G98" s="2456" t="s">
        <v>829</v>
      </c>
      <c r="H98" s="2488" t="s">
        <v>1157</v>
      </c>
      <c r="I98" s="2466" t="s">
        <v>488</v>
      </c>
      <c r="J98" s="2468"/>
      <c r="K98" s="2466" t="s">
        <v>489</v>
      </c>
      <c r="L98" s="2468"/>
      <c r="M98" s="2466" t="s">
        <v>490</v>
      </c>
      <c r="N98" s="2468"/>
      <c r="O98" s="2466" t="s">
        <v>491</v>
      </c>
      <c r="P98" s="2468"/>
      <c r="Q98" s="2466" t="s">
        <v>800</v>
      </c>
      <c r="R98" s="2468"/>
      <c r="S98" s="2466" t="s">
        <v>801</v>
      </c>
      <c r="T98" s="2468"/>
      <c r="U98" s="2466" t="s">
        <v>802</v>
      </c>
      <c r="V98" s="2468"/>
      <c r="W98" s="2466" t="s">
        <v>803</v>
      </c>
      <c r="X98" s="2468"/>
      <c r="Y98" s="2466" t="s">
        <v>804</v>
      </c>
      <c r="Z98" s="2468"/>
      <c r="AA98" s="2466" t="s">
        <v>482</v>
      </c>
      <c r="AB98" s="2468"/>
      <c r="AC98" s="2466" t="s">
        <v>486</v>
      </c>
      <c r="AD98" s="2468"/>
      <c r="AE98" s="2466" t="s">
        <v>487</v>
      </c>
      <c r="AF98" s="2468"/>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57"/>
      <c r="B99" s="2474"/>
      <c r="C99" s="2476"/>
      <c r="D99" s="2478"/>
      <c r="E99" s="50"/>
      <c r="F99" s="50"/>
      <c r="G99" s="2457"/>
      <c r="H99" s="2459"/>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 ca="1">C102+C106+C108+C113</f>
        <v>51454</v>
      </c>
      <c r="D100" s="803">
        <f>'Ввод исходных данных'!Y265*1000</f>
        <v>16816</v>
      </c>
      <c r="E100" s="50"/>
      <c r="F100" s="50"/>
      <c r="G100" s="770" t="s">
        <v>1208</v>
      </c>
      <c r="H100" s="827" t="s">
        <v>837</v>
      </c>
      <c r="I100" s="772">
        <f>I102+I106+I108+I113</f>
        <v>4287.8333333333339</v>
      </c>
      <c r="J100" s="828">
        <f>'Ввод исходных данных'!$Y$253*1000</f>
        <v>2111.9999999999995</v>
      </c>
      <c r="K100" s="772">
        <f>K102+K106+K108+K113</f>
        <v>4287.8333333333339</v>
      </c>
      <c r="L100" s="828">
        <f>'Ввод исходных данных'!$Y$254*1000</f>
        <v>2001.9999999999998</v>
      </c>
      <c r="M100" s="772">
        <f>M102+M106+M108+M113</f>
        <v>4287.8333333333339</v>
      </c>
      <c r="N100" s="828">
        <f>'Ввод исходных данных'!$Y$255*1000</f>
        <v>1666.9999999999998</v>
      </c>
      <c r="O100" s="772">
        <f>O102+O106+O108+O113</f>
        <v>4287.8333333333339</v>
      </c>
      <c r="P100" s="828">
        <f>'Ввод исходных данных'!$Y$256*1000</f>
        <v>1432</v>
      </c>
      <c r="Q100" s="772">
        <f>Q102+Q106+Q108+Q113</f>
        <v>4287.8333333333339</v>
      </c>
      <c r="R100" s="828">
        <f>'Ввод исходных данных'!$Y$257*1000</f>
        <v>1274</v>
      </c>
      <c r="S100" s="772">
        <f>S102+S106+S108+S113</f>
        <v>4287.8333333333339</v>
      </c>
      <c r="T100" s="828">
        <f>'Ввод исходных данных'!$Y$258*1000</f>
        <v>1265</v>
      </c>
      <c r="U100" s="772">
        <f>U102+U106+U108+U113</f>
        <v>4287.8333333333339</v>
      </c>
      <c r="V100" s="828">
        <f>'Ввод исходных данных'!$Y$259*1000</f>
        <v>1142.9999999999998</v>
      </c>
      <c r="W100" s="772">
        <f>W102+W106+W108+W113</f>
        <v>4287.8333333333339</v>
      </c>
      <c r="X100" s="828">
        <f>'Ввод исходных данных'!$Y$260*1000</f>
        <v>1130.9999999999998</v>
      </c>
      <c r="Y100" s="772">
        <f>Y102+Y106+Y108+Y113</f>
        <v>4287.8333333333339</v>
      </c>
      <c r="Z100" s="828">
        <f>'Ввод исходных данных'!$Y$261*1000</f>
        <v>1117</v>
      </c>
      <c r="AA100" s="772">
        <f>AA102+AA106+AA108+AA113</f>
        <v>4287.8333333333339</v>
      </c>
      <c r="AB100" s="828">
        <f>'Ввод исходных данных'!$Y$262*1000</f>
        <v>1121</v>
      </c>
      <c r="AC100" s="772">
        <f>AC102+AC106+AC108+AC113</f>
        <v>4287.8333333333339</v>
      </c>
      <c r="AD100" s="828">
        <f>'Ввод исходных данных'!$Y$263*1000</f>
        <v>1282</v>
      </c>
      <c r="AE100" s="772">
        <f>AE102+AE106+AE108+AE113</f>
        <v>4287.8333333333339</v>
      </c>
      <c r="AF100" s="828">
        <f>'Ввод исходных данных'!$Y$264*1000</f>
        <v>1269.9999999999998</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 ca="1">C100/$C$100</f>
        <v>1</v>
      </c>
      <c r="D101" s="832">
        <f>D100/$D$100</f>
        <v>1</v>
      </c>
      <c r="E101" s="50"/>
      <c r="F101" s="50"/>
      <c r="G101" s="833" t="s">
        <v>868</v>
      </c>
      <c r="H101" s="834" t="s">
        <v>1164</v>
      </c>
      <c r="I101" s="835">
        <f>I103+I107+I109+I114</f>
        <v>99.999999999999986</v>
      </c>
      <c r="J101" s="836">
        <f>J103+J107+J109+J114</f>
        <v>100.00000000000003</v>
      </c>
      <c r="K101" s="835">
        <f>K103+K107+K109+K114</f>
        <v>99.999999999999986</v>
      </c>
      <c r="L101" s="836">
        <f>L103+L107+L109+L114</f>
        <v>100</v>
      </c>
      <c r="M101" s="835">
        <f>M103+M107+M109+M114</f>
        <v>99.999999999999986</v>
      </c>
      <c r="N101" s="836">
        <f>N103+N107+N109+N114</f>
        <v>100</v>
      </c>
      <c r="O101" s="835">
        <f>O103+O107+O109+O114</f>
        <v>99.999999999999986</v>
      </c>
      <c r="P101" s="836">
        <f>P103+P107+P109+P114</f>
        <v>100.00000000000001</v>
      </c>
      <c r="Q101" s="835">
        <f>Q103+Q107+Q109+Q114</f>
        <v>99.999999999999986</v>
      </c>
      <c r="R101" s="836">
        <f>R103+R107+R109+R114</f>
        <v>99.999999999999986</v>
      </c>
      <c r="S101" s="835">
        <f>S103+S107+S109+S114</f>
        <v>99.999999999999986</v>
      </c>
      <c r="T101" s="836">
        <f>T103+T107+T109+T114</f>
        <v>100</v>
      </c>
      <c r="U101" s="835">
        <f>U103+U107+U109+U114</f>
        <v>99.999999999999986</v>
      </c>
      <c r="V101" s="836">
        <f>V103+V107+V109+V114</f>
        <v>100.00000000000001</v>
      </c>
      <c r="W101" s="835">
        <f>W103+W107+W109+W114</f>
        <v>99.999999999999986</v>
      </c>
      <c r="X101" s="836">
        <f>X103+X107+X109+X114</f>
        <v>100.00000000000001</v>
      </c>
      <c r="Y101" s="835">
        <f>Y103+Y107+Y109+Y114</f>
        <v>99.999999999999986</v>
      </c>
      <c r="Z101" s="836">
        <f>Z103+Z107+Z109+Z114</f>
        <v>100.00000000000001</v>
      </c>
      <c r="AA101" s="835">
        <f>AA103+AA107+AA109+AA114</f>
        <v>99.999999999999986</v>
      </c>
      <c r="AB101" s="836">
        <f>AB103+AB107+AB109+AB114</f>
        <v>100.00000000000001</v>
      </c>
      <c r="AC101" s="835">
        <f>AC103+AC107+AC109+AC114</f>
        <v>99.999999999999986</v>
      </c>
      <c r="AD101" s="836">
        <f>AD103+AD107+AD109+AD114</f>
        <v>100.00000000000001</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3054</v>
      </c>
      <c r="D102" s="841">
        <f>'Ввод исходных данных'!Z265*1000</f>
        <v>998.1</v>
      </c>
      <c r="E102" s="50"/>
      <c r="F102" s="50"/>
      <c r="G102" s="842" t="s">
        <v>1209</v>
      </c>
      <c r="H102" s="843" t="s">
        <v>837</v>
      </c>
      <c r="I102" s="844">
        <f>$C$102/12</f>
        <v>254.5</v>
      </c>
      <c r="J102" s="837">
        <f>'Ввод исходных данных'!$Z$253*1000</f>
        <v>125.35561861079798</v>
      </c>
      <c r="K102" s="844">
        <f>$C$102/12</f>
        <v>254.5</v>
      </c>
      <c r="L102" s="837">
        <f>'Ввод исходных данных'!$Z$254*1000</f>
        <v>118.8266801414856</v>
      </c>
      <c r="M102" s="844">
        <f>$C$102/12</f>
        <v>254.5</v>
      </c>
      <c r="N102" s="837">
        <f>'Ввод исходных данных'!$Z$255*1000</f>
        <v>98.943094803125106</v>
      </c>
      <c r="O102" s="844">
        <f>$C$102/12</f>
        <v>254.5</v>
      </c>
      <c r="P102" s="837">
        <f>'Ввод исходных данных'!$Z$256*1000</f>
        <v>84.994908073230462</v>
      </c>
      <c r="Q102" s="844">
        <f>$C$102/12</f>
        <v>254.5</v>
      </c>
      <c r="R102" s="837">
        <f>'Ввод исходных данных'!$Z$257*1000</f>
        <v>75.616978271854464</v>
      </c>
      <c r="S102" s="844">
        <f>$C$102/12</f>
        <v>254.5</v>
      </c>
      <c r="T102" s="837">
        <f>'Ввод исходных данных'!$Z$258*1000</f>
        <v>75.082792397092547</v>
      </c>
      <c r="U102" s="844">
        <f>$C$102/12</f>
        <v>254.5</v>
      </c>
      <c r="V102" s="837">
        <f>'Ввод исходных данных'!$Z$259*1000</f>
        <v>67.841606094764245</v>
      </c>
      <c r="W102" s="844">
        <f>$C$102/12</f>
        <v>254.5</v>
      </c>
      <c r="X102" s="837">
        <f>'Ввод исходных данных'!$Z$260*1000</f>
        <v>67.129358261748351</v>
      </c>
      <c r="Y102" s="844">
        <f>$C$102/12</f>
        <v>254.5</v>
      </c>
      <c r="Z102" s="837">
        <f>'Ввод исходных данных'!$Z$261*1000</f>
        <v>66.298402456563139</v>
      </c>
      <c r="AA102" s="844">
        <f>$C$102/12</f>
        <v>254.5</v>
      </c>
      <c r="AB102" s="837">
        <f>'Ввод исходных данных'!$Z$262*1000</f>
        <v>66.535818400901746</v>
      </c>
      <c r="AC102" s="844">
        <f>$C$102/12</f>
        <v>254.5</v>
      </c>
      <c r="AD102" s="837">
        <f>'Ввод исходных данных'!$Z$263*1000</f>
        <v>76.091810160531736</v>
      </c>
      <c r="AE102" s="844">
        <f>$C$102/12</f>
        <v>254.5</v>
      </c>
      <c r="AF102" s="837">
        <f>'Ввод исходных данных'!$Z$264*1000</f>
        <v>75.379562327515828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 ca="1">C102/$C$100</f>
        <v>5.9353986084658139E-2</v>
      </c>
      <c r="D103" s="846">
        <f>D102/$D$100</f>
        <v>5.935418648905804E-2</v>
      </c>
      <c r="E103" s="50"/>
      <c r="F103" s="50"/>
      <c r="G103" s="501" t="s">
        <v>868</v>
      </c>
      <c r="H103" s="843" t="s">
        <v>1164</v>
      </c>
      <c r="I103" s="844">
        <f t="shared" ref="I103:AF103" si="33">(I102/I100)*100</f>
        <v>5.935398608465813</v>
      </c>
      <c r="J103" s="847">
        <f t="shared" si="33"/>
        <v>5.9353986084658148</v>
      </c>
      <c r="K103" s="848">
        <f t="shared" si="33"/>
        <v>5.935398608465813</v>
      </c>
      <c r="L103" s="849">
        <f t="shared" si="33"/>
        <v>5.9353986084658148</v>
      </c>
      <c r="M103" s="848">
        <f t="shared" si="33"/>
        <v>5.935398608465813</v>
      </c>
      <c r="N103" s="849">
        <f t="shared" si="33"/>
        <v>5.9353986084658139</v>
      </c>
      <c r="O103" s="848">
        <f t="shared" si="33"/>
        <v>5.935398608465813</v>
      </c>
      <c r="P103" s="849">
        <f t="shared" si="33"/>
        <v>5.9353986084658148</v>
      </c>
      <c r="Q103" s="848">
        <f t="shared" si="33"/>
        <v>5.935398608465813</v>
      </c>
      <c r="R103" s="849">
        <f t="shared" si="33"/>
        <v>5.935398608465813</v>
      </c>
      <c r="S103" s="848">
        <f t="shared" si="33"/>
        <v>5.935398608465813</v>
      </c>
      <c r="T103" s="849">
        <f t="shared" si="33"/>
        <v>5.9353986084658139</v>
      </c>
      <c r="U103" s="848">
        <f t="shared" si="33"/>
        <v>5.935398608465813</v>
      </c>
      <c r="V103" s="849">
        <f t="shared" si="33"/>
        <v>5.9353986084658148</v>
      </c>
      <c r="W103" s="848">
        <f t="shared" si="33"/>
        <v>5.935398608465813</v>
      </c>
      <c r="X103" s="849">
        <f t="shared" si="33"/>
        <v>5.9353986084658148</v>
      </c>
      <c r="Y103" s="848">
        <f t="shared" si="33"/>
        <v>5.935398608465813</v>
      </c>
      <c r="Z103" s="849">
        <f t="shared" si="33"/>
        <v>5.9353986084658139</v>
      </c>
      <c r="AA103" s="848">
        <f t="shared" si="33"/>
        <v>5.935398608465813</v>
      </c>
      <c r="AB103" s="849">
        <f t="shared" si="33"/>
        <v>5.9353986084658112</v>
      </c>
      <c r="AC103" s="848">
        <f t="shared" si="33"/>
        <v>5.935398608465813</v>
      </c>
      <c r="AD103" s="849">
        <f t="shared" si="33"/>
        <v>5.9353986084658139</v>
      </c>
      <c r="AE103" s="848">
        <f t="shared" si="33"/>
        <v>5.935398608465813</v>
      </c>
      <c r="AF103" s="849">
        <f t="shared" si="33"/>
        <v>5.9353986084658148</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2424</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2654</v>
      </c>
      <c r="D104" s="846">
        <f>IFERROR($D$102*C104/$C$102,0)</f>
        <v>867.3730844793713</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2425</v>
      </c>
      <c r="B105" s="839" t="s">
        <v>837</v>
      </c>
      <c r="C105" s="851">
        <f>списки!C70*'Ввод исходных данных'!D156*'Ввод исходных данных'!F156/1000</f>
        <v>400</v>
      </c>
      <c r="D105" s="846">
        <f>IFERROR($D$102*C105/$C$102,0)</f>
        <v>130.72691552062869</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48400</v>
      </c>
      <c r="D106" s="841">
        <f>'Ввод исходных данных'!AA265*1000</f>
        <v>15817.9</v>
      </c>
      <c r="E106" s="50"/>
      <c r="F106" s="50"/>
      <c r="G106" s="842" t="s">
        <v>1216</v>
      </c>
      <c r="H106" s="843" t="s">
        <v>837</v>
      </c>
      <c r="I106" s="850">
        <f>C106/12</f>
        <v>4033.3333333333335</v>
      </c>
      <c r="J106" s="577">
        <f>'Ввод исходных данных'!$AA$253*1000</f>
        <v>1986.644381389202</v>
      </c>
      <c r="K106" s="850">
        <f>I106</f>
        <v>4033.3333333333335</v>
      </c>
      <c r="L106" s="577">
        <f>'Ввод исходных данных'!$AA$254*1000</f>
        <v>1883.1733198585141</v>
      </c>
      <c r="M106" s="850">
        <f>K106</f>
        <v>4033.3333333333335</v>
      </c>
      <c r="N106" s="577">
        <f>'Ввод исходных данных'!$AA$255*1000</f>
        <v>1568.0569051968746</v>
      </c>
      <c r="O106" s="850">
        <f>M106</f>
        <v>4033.3333333333335</v>
      </c>
      <c r="P106" s="577">
        <f>'Ввод исходных данных'!$AA$256*1000</f>
        <v>1347.0050919267696</v>
      </c>
      <c r="Q106" s="850">
        <f>O106</f>
        <v>4033.3333333333335</v>
      </c>
      <c r="R106" s="577">
        <f>'Ввод исходных данных'!$AA$257*1000</f>
        <v>1198.3830217281454</v>
      </c>
      <c r="S106" s="850">
        <f>Q106</f>
        <v>4033.3333333333335</v>
      </c>
      <c r="T106" s="577">
        <f>'Ввод исходных данных'!$AA$258*1000</f>
        <v>1189.9172076029074</v>
      </c>
      <c r="U106" s="850">
        <f>S106</f>
        <v>4033.3333333333335</v>
      </c>
      <c r="V106" s="577">
        <f>'Ввод исходных данных'!$AA$259*1000</f>
        <v>1075.1583939052357</v>
      </c>
      <c r="W106" s="850">
        <f>U106</f>
        <v>4033.3333333333335</v>
      </c>
      <c r="X106" s="577">
        <f>'Ввод исходных данных'!$AA$260*1000</f>
        <v>1063.8706417382516</v>
      </c>
      <c r="Y106" s="850">
        <f>W106</f>
        <v>4033.3333333333335</v>
      </c>
      <c r="Z106" s="577">
        <f>'Ввод исходных данных'!$AA$261*1000</f>
        <v>1050.7015975434369</v>
      </c>
      <c r="AA106" s="850">
        <f>Y106</f>
        <v>4033.3333333333335</v>
      </c>
      <c r="AB106" s="577">
        <f>'Ввод исходных данных'!$AA$262*1000</f>
        <v>1054.4641815990983</v>
      </c>
      <c r="AC106" s="850">
        <f>AA106</f>
        <v>4033.3333333333335</v>
      </c>
      <c r="AD106" s="577">
        <f>'Ввод исходных данных'!$AA$263*1000</f>
        <v>1205.9081898394684</v>
      </c>
      <c r="AE106" s="850">
        <f>AC106</f>
        <v>4033.3333333333335</v>
      </c>
      <c r="AF106" s="577">
        <f>'Ввод исходных данных'!$AA$264*1000</f>
        <v>1194.6204376724841</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 ca="1">C106/$C$100</f>
        <v>0.94064601391534186</v>
      </c>
      <c r="D107" s="846">
        <f>D106/$D$100</f>
        <v>0.9406458135109419</v>
      </c>
      <c r="E107" s="50"/>
      <c r="F107" s="50"/>
      <c r="G107" s="501" t="s">
        <v>868</v>
      </c>
      <c r="H107" s="843" t="s">
        <v>1164</v>
      </c>
      <c r="I107" s="844">
        <f t="shared" ref="I107:AF107" si="34">(I106/I100)*100</f>
        <v>94.064601391534168</v>
      </c>
      <c r="J107" s="847">
        <f t="shared" si="34"/>
        <v>94.064601391534211</v>
      </c>
      <c r="K107" s="848">
        <f t="shared" si="34"/>
        <v>94.064601391534168</v>
      </c>
      <c r="L107" s="849">
        <f t="shared" si="34"/>
        <v>94.064601391534183</v>
      </c>
      <c r="M107" s="848">
        <f t="shared" si="34"/>
        <v>94.064601391534168</v>
      </c>
      <c r="N107" s="849">
        <f t="shared" si="34"/>
        <v>94.064601391534183</v>
      </c>
      <c r="O107" s="848">
        <f t="shared" si="34"/>
        <v>94.064601391534168</v>
      </c>
      <c r="P107" s="849">
        <f t="shared" si="34"/>
        <v>94.064601391534197</v>
      </c>
      <c r="Q107" s="848">
        <f t="shared" si="34"/>
        <v>94.064601391534168</v>
      </c>
      <c r="R107" s="849">
        <f t="shared" si="34"/>
        <v>94.064601391534168</v>
      </c>
      <c r="S107" s="848">
        <f t="shared" si="34"/>
        <v>94.064601391534168</v>
      </c>
      <c r="T107" s="849">
        <f t="shared" si="34"/>
        <v>94.064601391534183</v>
      </c>
      <c r="U107" s="848">
        <f t="shared" si="34"/>
        <v>94.064601391534168</v>
      </c>
      <c r="V107" s="849">
        <f t="shared" si="34"/>
        <v>94.064601391534197</v>
      </c>
      <c r="W107" s="848">
        <f t="shared" si="34"/>
        <v>94.064601391534168</v>
      </c>
      <c r="X107" s="849">
        <f t="shared" si="34"/>
        <v>94.064601391534197</v>
      </c>
      <c r="Y107" s="848">
        <f t="shared" si="34"/>
        <v>94.064601391534168</v>
      </c>
      <c r="Z107" s="849">
        <f t="shared" si="34"/>
        <v>94.064601391534197</v>
      </c>
      <c r="AA107" s="848">
        <f t="shared" si="34"/>
        <v>94.064601391534168</v>
      </c>
      <c r="AB107" s="849">
        <f t="shared" si="34"/>
        <v>94.064601391534197</v>
      </c>
      <c r="AC107" s="848">
        <f t="shared" si="34"/>
        <v>94.064601391534168</v>
      </c>
      <c r="AD107" s="849">
        <f t="shared" si="34"/>
        <v>94.064601391534197</v>
      </c>
      <c r="AE107" s="848">
        <f t="shared" si="34"/>
        <v>94.064601391534168</v>
      </c>
      <c r="AF107" s="849">
        <f t="shared" si="34"/>
        <v>94.064601391534197</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 ca="1">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 ca="1">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 ca="1">'Ввод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 ca="1">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 ca="1">D100-C100</f>
        <v>-34638</v>
      </c>
      <c r="E115" s="50"/>
      <c r="F115" s="50"/>
      <c r="G115" s="786" t="s">
        <v>1212</v>
      </c>
      <c r="H115" s="859" t="s">
        <v>837</v>
      </c>
      <c r="I115" s="860"/>
      <c r="J115" s="861">
        <f>J100-I100</f>
        <v>-2175.8333333333344</v>
      </c>
      <c r="K115" s="862"/>
      <c r="L115" s="863">
        <f>L100-K100</f>
        <v>-2285.8333333333339</v>
      </c>
      <c r="M115" s="864"/>
      <c r="N115" s="865">
        <f>N100-M100</f>
        <v>-2620.8333333333339</v>
      </c>
      <c r="O115" s="866"/>
      <c r="P115" s="865">
        <f>P100-O100</f>
        <v>-2855.8333333333339</v>
      </c>
      <c r="Q115" s="864"/>
      <c r="R115" s="865">
        <f>R100-Q100</f>
        <v>-3013.8333333333339</v>
      </c>
      <c r="S115" s="864"/>
      <c r="T115" s="865">
        <f>T100-S100</f>
        <v>-3022.8333333333339</v>
      </c>
      <c r="U115" s="864"/>
      <c r="V115" s="865">
        <f>V100-U100</f>
        <v>-3144.8333333333339</v>
      </c>
      <c r="W115" s="864"/>
      <c r="X115" s="865">
        <f>X100-W100</f>
        <v>-3156.8333333333339</v>
      </c>
      <c r="Y115" s="864"/>
      <c r="Z115" s="865">
        <f>Z100-Y100</f>
        <v>-3170.8333333333339</v>
      </c>
      <c r="AA115" s="864"/>
      <c r="AB115" s="865">
        <f>AB100-AA100</f>
        <v>-3166.8333333333339</v>
      </c>
      <c r="AC115" s="864"/>
      <c r="AD115" s="865">
        <f>AD100-AC100</f>
        <v>-3005.8333333333339</v>
      </c>
      <c r="AE115" s="864"/>
      <c r="AF115" s="865">
        <f>AF100-AE100</f>
        <v>-3017.8333333333339</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 ca="1">(D115/C100)*100</f>
        <v>-67.318381466941347</v>
      </c>
      <c r="E116" s="50"/>
      <c r="F116" s="50"/>
      <c r="G116" s="347" t="s">
        <v>868</v>
      </c>
      <c r="H116" s="869" t="s">
        <v>1164</v>
      </c>
      <c r="I116" s="870"/>
      <c r="J116" s="871">
        <f>(J115/I100)*100</f>
        <v>-50.744354180433028</v>
      </c>
      <c r="K116" s="870"/>
      <c r="L116" s="871">
        <f>(L115/K100)*100</f>
        <v>-53.309752400202129</v>
      </c>
      <c r="M116" s="856"/>
      <c r="N116" s="868">
        <f>(N115/M100)*100</f>
        <v>-61.122556069498977</v>
      </c>
      <c r="O116" s="856"/>
      <c r="P116" s="868">
        <f>(P115/O100)*100</f>
        <v>-66.603179539005723</v>
      </c>
      <c r="Q116" s="856"/>
      <c r="R116" s="868">
        <f>(R115/Q100)*100</f>
        <v>-70.288024254674085</v>
      </c>
      <c r="S116" s="856"/>
      <c r="T116" s="868">
        <f>(T115/S100)*100</f>
        <v>-70.497920472655196</v>
      </c>
      <c r="U116" s="856"/>
      <c r="V116" s="868">
        <f>(V115/U100)*100</f>
        <v>-73.343180316399113</v>
      </c>
      <c r="W116" s="856"/>
      <c r="X116" s="868">
        <f>(X115/W100)*100</f>
        <v>-73.623041940373938</v>
      </c>
      <c r="Y116" s="856"/>
      <c r="Z116" s="868">
        <f>(Z115/Y100)*100</f>
        <v>-73.949547168344537</v>
      </c>
      <c r="AA116" s="856"/>
      <c r="AB116" s="868">
        <f>(AB115/AA100)*100</f>
        <v>-73.856259960352943</v>
      </c>
      <c r="AC116" s="856"/>
      <c r="AD116" s="868">
        <f>(AD115/AC100)*100</f>
        <v>-70.101449838690883</v>
      </c>
      <c r="AE116" s="856"/>
      <c r="AF116" s="868">
        <f>(AF115/AE100)*100</f>
        <v>-70.381311462665678</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 ca="1">C100/('Ввод исходных данных'!$G$56++'Ввод исходных данных'!D23)</f>
        <v>6.8005974015675177</v>
      </c>
      <c r="D117" s="427">
        <f>D100/('Ввод исходных данных'!$G$56+'Ввод исходных данных'!D23)</f>
        <v>2.2225453007493954</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5294.8379999999997</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1.053639846743295</v>
      </c>
      <c r="D136" s="443">
        <v>1</v>
      </c>
      <c r="E136" s="445">
        <f t="shared" ref="E136:E145" si="37">IF(C136=0,0,B136/C136*D136)</f>
        <v>5025.2826109090902</v>
      </c>
      <c r="F136" s="446">
        <f>E136*(20-$D$147)</f>
        <v>276390.54359999998</v>
      </c>
      <c r="G136" s="445">
        <f t="shared" ref="G136:R136" si="38">$E$136*0.024*G$149</f>
        <v>126745.6678993047</v>
      </c>
      <c r="H136" s="445">
        <f t="shared" si="38"/>
        <v>109076.77423934833</v>
      </c>
      <c r="I136" s="445">
        <f t="shared" si="38"/>
        <v>91600.851431650895</v>
      </c>
      <c r="J136" s="445">
        <f t="shared" si="38"/>
        <v>59700.357417599997</v>
      </c>
      <c r="K136" s="445">
        <f t="shared" si="38"/>
        <v>7369.074420637091</v>
      </c>
      <c r="L136" s="445">
        <f t="shared" si="38"/>
        <v>0</v>
      </c>
      <c r="M136" s="445">
        <f t="shared" si="38"/>
        <v>0</v>
      </c>
      <c r="N136" s="445">
        <f t="shared" si="38"/>
        <v>0</v>
      </c>
      <c r="O136" s="445">
        <f t="shared" si="38"/>
        <v>8231.4129166690909</v>
      </c>
      <c r="P136" s="445">
        <f t="shared" si="38"/>
        <v>66176.941646539621</v>
      </c>
      <c r="Q136" s="445">
        <f t="shared" si="38"/>
        <v>92626.00908427636</v>
      </c>
      <c r="R136" s="445">
        <f t="shared" si="38"/>
        <v>117024.76121676218</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1111.5</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0.52</v>
      </c>
      <c r="D137" s="443">
        <v>1</v>
      </c>
      <c r="E137" s="445">
        <f t="shared" si="37"/>
        <v>2137.5</v>
      </c>
      <c r="F137" s="446">
        <f t="shared" ref="F137:F145" si="39">E137*(20-$D$147)</f>
        <v>117562.5</v>
      </c>
      <c r="G137" s="445">
        <f t="shared" ref="G137:R137" si="40">$E$137*0.024*G$149</f>
        <v>53911.17</v>
      </c>
      <c r="H137" s="445">
        <f t="shared" si="40"/>
        <v>46395.719999999994</v>
      </c>
      <c r="I137" s="445">
        <f t="shared" si="40"/>
        <v>38962.350000000006</v>
      </c>
      <c r="J137" s="445">
        <f t="shared" si="40"/>
        <v>25393.500000000004</v>
      </c>
      <c r="K137" s="445">
        <f t="shared" si="40"/>
        <v>3134.4300000000003</v>
      </c>
      <c r="L137" s="445">
        <f t="shared" si="40"/>
        <v>0</v>
      </c>
      <c r="M137" s="445">
        <f t="shared" si="40"/>
        <v>0</v>
      </c>
      <c r="N137" s="445">
        <f t="shared" si="40"/>
        <v>0</v>
      </c>
      <c r="O137" s="445">
        <f t="shared" si="40"/>
        <v>3501.2250000000004</v>
      </c>
      <c r="P137" s="445">
        <f t="shared" si="40"/>
        <v>28148.309999999998</v>
      </c>
      <c r="Q137" s="445">
        <f t="shared" si="40"/>
        <v>39398.400000000001</v>
      </c>
      <c r="R137" s="445">
        <f t="shared" si="40"/>
        <v>49776.390000000007</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59.65</v>
      </c>
      <c r="C138" s="874">
        <f>IF('Ввод исходных данных'!D83=0,0.38*(1-'Ввод исходных данных'!$D$34/'Ввод исходных данных'!G66)+0.55*('Ввод исходных данных'!$D$34/'Ввод исходных данных'!G66),'Ввод исходных данных'!D83)</f>
        <v>0.55000000000000004</v>
      </c>
      <c r="D138" s="443">
        <v>1</v>
      </c>
      <c r="E138" s="445">
        <f t="shared" si="37"/>
        <v>108.45454545454544</v>
      </c>
      <c r="F138" s="446">
        <f t="shared" si="39"/>
        <v>5964.9999999999991</v>
      </c>
      <c r="G138" s="445">
        <f t="shared" ref="G138:R138" si="41">$E$138*0.024*G$149</f>
        <v>2735.3971636363626</v>
      </c>
      <c r="H138" s="445">
        <f t="shared" si="41"/>
        <v>2354.0709818181808</v>
      </c>
      <c r="I138" s="445">
        <f t="shared" si="41"/>
        <v>1976.9094545454541</v>
      </c>
      <c r="J138" s="445">
        <f t="shared" si="41"/>
        <v>1288.4399999999998</v>
      </c>
      <c r="K138" s="445">
        <f t="shared" si="41"/>
        <v>159.03774545454542</v>
      </c>
      <c r="L138" s="445">
        <f t="shared" si="41"/>
        <v>0</v>
      </c>
      <c r="M138" s="445">
        <f t="shared" si="41"/>
        <v>0</v>
      </c>
      <c r="N138" s="445">
        <f t="shared" si="41"/>
        <v>0</v>
      </c>
      <c r="O138" s="445">
        <f t="shared" si="41"/>
        <v>177.64854545454543</v>
      </c>
      <c r="P138" s="445">
        <f t="shared" si="41"/>
        <v>1428.2162181818178</v>
      </c>
      <c r="Q138" s="445">
        <f t="shared" si="41"/>
        <v>1999.0341818181814</v>
      </c>
      <c r="R138" s="445">
        <f t="shared" si="41"/>
        <v>2525.6026909090906</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0</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43">
        <v>1</v>
      </c>
      <c r="E139" s="445">
        <f t="shared" si="37"/>
        <v>0</v>
      </c>
      <c r="F139" s="446">
        <f t="shared" si="39"/>
        <v>0</v>
      </c>
      <c r="G139" s="445">
        <f>$E$139*0.024*G$149</f>
        <v>0</v>
      </c>
      <c r="H139" s="445">
        <f t="shared" ref="H139:R139" si="42">$E$139*0.024*H$149</f>
        <v>0</v>
      </c>
      <c r="I139" s="445">
        <f t="shared" si="42"/>
        <v>0</v>
      </c>
      <c r="J139" s="445">
        <f t="shared" si="42"/>
        <v>0</v>
      </c>
      <c r="K139" s="445">
        <f t="shared" si="42"/>
        <v>0</v>
      </c>
      <c r="L139" s="445">
        <f t="shared" si="42"/>
        <v>0</v>
      </c>
      <c r="M139" s="445">
        <f t="shared" si="42"/>
        <v>0</v>
      </c>
      <c r="N139" s="445">
        <f t="shared" si="42"/>
        <v>0</v>
      </c>
      <c r="O139" s="445">
        <f t="shared" si="42"/>
        <v>0</v>
      </c>
      <c r="P139" s="445">
        <f t="shared" si="42"/>
        <v>0</v>
      </c>
      <c r="Q139" s="445">
        <f t="shared" si="42"/>
        <v>0</v>
      </c>
      <c r="R139" s="445">
        <f t="shared" si="42"/>
        <v>0</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1.4048531289910602</v>
      </c>
      <c r="D140" s="443">
        <v>1</v>
      </c>
      <c r="E140" s="445">
        <f t="shared" si="37"/>
        <v>0</v>
      </c>
      <c r="F140" s="446">
        <f t="shared" si="39"/>
        <v>0</v>
      </c>
      <c r="G140" s="445">
        <f t="shared" ref="G140:R140" si="43">$E$140*0.024*G$149</f>
        <v>0</v>
      </c>
      <c r="H140" s="445">
        <f t="shared" si="43"/>
        <v>0</v>
      </c>
      <c r="I140" s="445">
        <f t="shared" si="43"/>
        <v>0</v>
      </c>
      <c r="J140" s="445">
        <f t="shared" si="43"/>
        <v>0</v>
      </c>
      <c r="K140" s="445">
        <f t="shared" si="43"/>
        <v>0</v>
      </c>
      <c r="L140" s="445">
        <f t="shared" si="43"/>
        <v>0</v>
      </c>
      <c r="M140" s="445">
        <f t="shared" si="43"/>
        <v>0</v>
      </c>
      <c r="N140" s="445">
        <f t="shared" si="43"/>
        <v>0</v>
      </c>
      <c r="O140" s="445">
        <f t="shared" si="43"/>
        <v>0</v>
      </c>
      <c r="P140" s="445">
        <f t="shared" si="43"/>
        <v>0</v>
      </c>
      <c r="Q140" s="445">
        <f t="shared" si="43"/>
        <v>0</v>
      </c>
      <c r="R140" s="445">
        <f t="shared" si="43"/>
        <v>0</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1246.7</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2.1072796934865901</v>
      </c>
      <c r="D141" s="876">
        <f>(20-'Расчет базового уровня'!$D$161)/(20-'Расчет базового уровня'!$D$147)</f>
        <v>8.1818181818181818E-2</v>
      </c>
      <c r="E141" s="445">
        <f t="shared" si="37"/>
        <v>48.404930578512399</v>
      </c>
      <c r="F141" s="446">
        <f t="shared" si="39"/>
        <v>2662.271181818182</v>
      </c>
      <c r="G141" s="445">
        <f t="shared" ref="G141:R142" si="44">$E$141*0.024*G$149</f>
        <v>1220.8497970790081</v>
      </c>
      <c r="H141" s="445">
        <f t="shared" si="44"/>
        <v>1050.6580611649586</v>
      </c>
      <c r="I141" s="445">
        <f t="shared" si="44"/>
        <v>882.32507458512396</v>
      </c>
      <c r="J141" s="445">
        <f t="shared" si="44"/>
        <v>575.05057527272731</v>
      </c>
      <c r="K141" s="445">
        <f t="shared" si="44"/>
        <v>70.980990200330581</v>
      </c>
      <c r="L141" s="445">
        <f t="shared" si="44"/>
        <v>0</v>
      </c>
      <c r="M141" s="445">
        <f t="shared" si="44"/>
        <v>0</v>
      </c>
      <c r="N141" s="445">
        <f t="shared" si="44"/>
        <v>0</v>
      </c>
      <c r="O141" s="445">
        <f t="shared" si="44"/>
        <v>79.287276287603305</v>
      </c>
      <c r="P141" s="445">
        <f t="shared" si="44"/>
        <v>637.43484980231403</v>
      </c>
      <c r="Q141" s="445">
        <f t="shared" si="44"/>
        <v>892.19968042314053</v>
      </c>
      <c r="R141" s="445">
        <f t="shared" si="44"/>
        <v>1127.215299367934</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1.053639846743295</v>
      </c>
      <c r="D142" s="443">
        <v>0.9</v>
      </c>
      <c r="E142" s="445">
        <f t="shared" si="37"/>
        <v>0</v>
      </c>
      <c r="F142" s="446">
        <f t="shared" si="39"/>
        <v>0</v>
      </c>
      <c r="G142" s="445">
        <f t="shared" si="44"/>
        <v>1220.8497970790081</v>
      </c>
      <c r="H142" s="445">
        <f t="shared" si="44"/>
        <v>1050.6580611649586</v>
      </c>
      <c r="I142" s="445">
        <f t="shared" si="44"/>
        <v>882.32507458512396</v>
      </c>
      <c r="J142" s="445">
        <f t="shared" si="44"/>
        <v>575.05057527272731</v>
      </c>
      <c r="K142" s="445">
        <f t="shared" si="44"/>
        <v>70.980990200330581</v>
      </c>
      <c r="L142" s="445">
        <f t="shared" si="44"/>
        <v>0</v>
      </c>
      <c r="M142" s="445">
        <f t="shared" si="44"/>
        <v>0</v>
      </c>
      <c r="N142" s="445">
        <f t="shared" si="44"/>
        <v>0</v>
      </c>
      <c r="O142" s="445">
        <f t="shared" si="44"/>
        <v>79.287276287603305</v>
      </c>
      <c r="P142" s="445">
        <f t="shared" si="44"/>
        <v>637.43484980231403</v>
      </c>
      <c r="Q142" s="445">
        <f t="shared" si="44"/>
        <v>892.19968042314053</v>
      </c>
      <c r="R142" s="445">
        <f t="shared" si="44"/>
        <v>1127.215299367934</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1.053639846743295</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1246.7</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0.63218390804597702</v>
      </c>
      <c r="D144" s="448">
        <f>(списки!C56-'Расчет базового уровня'!$D$162)/(списки!C56-'Расчет базового уровня'!$D$147)</f>
        <v>0.32727272727272727</v>
      </c>
      <c r="E144" s="445">
        <f t="shared" si="37"/>
        <v>645.3990743801653</v>
      </c>
      <c r="F144" s="446">
        <f t="shared" si="39"/>
        <v>35496.949090909089</v>
      </c>
      <c r="G144" s="445">
        <f>$E$144*0.024*G$149</f>
        <v>16277.997294386776</v>
      </c>
      <c r="H144" s="445">
        <f>$E$144*0.024*H$149</f>
        <v>14008.774148866114</v>
      </c>
      <c r="I144" s="445">
        <f t="shared" ref="I144:R144" si="46">$E$144*0.024*I$149</f>
        <v>11764.334327801655</v>
      </c>
      <c r="J144" s="445">
        <f t="shared" si="46"/>
        <v>7667.3410036363639</v>
      </c>
      <c r="K144" s="445">
        <f t="shared" si="46"/>
        <v>946.41320267107449</v>
      </c>
      <c r="L144" s="445">
        <f t="shared" si="46"/>
        <v>0</v>
      </c>
      <c r="M144" s="445">
        <f t="shared" si="46"/>
        <v>0</v>
      </c>
      <c r="N144" s="445">
        <f t="shared" si="46"/>
        <v>0</v>
      </c>
      <c r="O144" s="445">
        <f t="shared" si="46"/>
        <v>1057.1636838347108</v>
      </c>
      <c r="P144" s="445">
        <f t="shared" si="46"/>
        <v>8499.1313306975208</v>
      </c>
      <c r="Q144" s="445">
        <f t="shared" si="46"/>
        <v>11895.995738975207</v>
      </c>
      <c r="R144" s="445">
        <f t="shared" si="46"/>
        <v>15029.537324905787</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35.1</v>
      </c>
      <c r="C145" s="878">
        <f>IF('Ввод исходных данных'!D87=0,IF(списки!D35=0,0.5,0.95),'Ввод исходных данных'!D87)</f>
        <v>0.95</v>
      </c>
      <c r="D145" s="448">
        <v>1</v>
      </c>
      <c r="E145" s="445">
        <f t="shared" si="37"/>
        <v>36.947368421052637</v>
      </c>
      <c r="F145" s="446">
        <f t="shared" si="39"/>
        <v>2032.105263157895</v>
      </c>
      <c r="G145" s="445">
        <f>$E$145*0.024*G$149</f>
        <v>931.8717473684211</v>
      </c>
      <c r="H145" s="445">
        <f t="shared" ref="H145:R145" si="47">$E$145*0.024*H$149</f>
        <v>801.96479999999997</v>
      </c>
      <c r="I145" s="445">
        <f t="shared" si="47"/>
        <v>673.47663157894749</v>
      </c>
      <c r="J145" s="445">
        <f t="shared" si="47"/>
        <v>438.93473684210534</v>
      </c>
      <c r="K145" s="445">
        <f t="shared" si="47"/>
        <v>54.179621052631589</v>
      </c>
      <c r="L145" s="445">
        <f t="shared" si="47"/>
        <v>0</v>
      </c>
      <c r="M145" s="445">
        <f t="shared" si="47"/>
        <v>0</v>
      </c>
      <c r="N145" s="445">
        <f t="shared" si="47"/>
        <v>0</v>
      </c>
      <c r="O145" s="445">
        <f t="shared" si="47"/>
        <v>60.51978947368422</v>
      </c>
      <c r="P145" s="445">
        <f t="shared" si="47"/>
        <v>486.55250526315791</v>
      </c>
      <c r="Q145" s="445">
        <f t="shared" si="47"/>
        <v>681.01389473684219</v>
      </c>
      <c r="R145" s="445">
        <f t="shared" si="47"/>
        <v>860.40075789473701</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7712.6879999999992</v>
      </c>
      <c r="C146" s="878"/>
      <c r="D146" s="443"/>
      <c r="E146" s="445">
        <f>SUM(E136:E145)</f>
        <v>8001.9885297433648</v>
      </c>
      <c r="F146" s="1441">
        <f>E146*(20-$D$147)/1000</f>
        <v>440.10936913588506</v>
      </c>
      <c r="G146" s="445">
        <f>SUM(G136:G145)</f>
        <v>203043.80369885429</v>
      </c>
      <c r="H146" s="445">
        <f t="shared" ref="H146:R146" si="48">SUM(H136:H145)</f>
        <v>174738.62029236255</v>
      </c>
      <c r="I146" s="445">
        <f t="shared" si="48"/>
        <v>146742.57199474721</v>
      </c>
      <c r="J146" s="445">
        <f t="shared" si="48"/>
        <v>95638.674308623929</v>
      </c>
      <c r="K146" s="445">
        <f t="shared" si="48"/>
        <v>11805.096970216004</v>
      </c>
      <c r="L146" s="445">
        <f t="shared" si="48"/>
        <v>0</v>
      </c>
      <c r="M146" s="445">
        <f t="shared" si="48"/>
        <v>0</v>
      </c>
      <c r="N146" s="445">
        <f t="shared" si="48"/>
        <v>0</v>
      </c>
      <c r="O146" s="445">
        <f t="shared" si="48"/>
        <v>13186.544488007239</v>
      </c>
      <c r="P146" s="445">
        <f t="shared" si="48"/>
        <v>106014.02140028674</v>
      </c>
      <c r="Q146" s="445">
        <f t="shared" si="48"/>
        <v>148384.85226065287</v>
      </c>
      <c r="R146" s="445">
        <f t="shared" si="48"/>
        <v>187471.12258920766</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-35</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225</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6.5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6.5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5737.5</v>
      </c>
      <c r="E149" s="50"/>
      <c r="F149" s="285"/>
      <c r="G149" s="452">
        <f>VLOOKUP(CONCATENATE('Ввод исходных данных'!$D$10,'Ввод исходных данных'!$D$11),Климатология!$D$9:$BF$548,G132+3,0)</f>
        <v>1050.8999999999999</v>
      </c>
      <c r="H149" s="452">
        <f>VLOOKUP(CONCATENATE('Ввод исходных данных'!$D$10,'Ввод исходных данных'!$D$11),Климатология!$D$9:$BF$548,H132+3,0)</f>
        <v>904.39999999999986</v>
      </c>
      <c r="I149" s="452">
        <f>VLOOKUP(CONCATENATE('Ввод исходных данных'!$D$10,'Ввод исходных данных'!$D$11),Климатология!$D$9:$BF$548,I132+3,0)</f>
        <v>759.5</v>
      </c>
      <c r="J149" s="452">
        <f>VLOOKUP(CONCATENATE('Ввод исходных данных'!$D$10,'Ввод исходных данных'!$D$11),Климатология!$D$9:$BF$548,J132+3,0)</f>
        <v>495</v>
      </c>
      <c r="K149" s="452">
        <f>VLOOKUP(CONCATENATE('Ввод исходных данных'!$D$10,'Ввод исходных данных'!$D$11),Климатология!$D$9:$BF$548,K132+3,0)</f>
        <v>61.1</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68.25</v>
      </c>
      <c r="P149" s="452">
        <f>VLOOKUP(CONCATENATE('Ввод исходных данных'!$D$10,'Ввод исходных данных'!$D$11),Климатология!$D$9:$BF$548,P132+3,0)</f>
        <v>548.69999999999993</v>
      </c>
      <c r="Q149" s="452">
        <f>VLOOKUP(CONCATENATE('Ввод исходных данных'!$D$10,'Ввод исходных данных'!$D$11),Климатология!$D$9:$BF$548,Q132+3,0)</f>
        <v>768</v>
      </c>
      <c r="R149" s="452">
        <f>VLOOKUP(CONCATENATE('Ввод исходных данных'!$D$10,'Ввод исходных данных'!$D$11),Климатология!$D$9:$BF$548,R132+3,0)</f>
        <v>970.30000000000007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14.388728682170541</v>
      </c>
      <c r="E150" s="50"/>
      <c r="F150" s="457">
        <f>17*D152/1000</f>
        <v>78.274799999999985</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29.325968992248065</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4604.3999999999996</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123.10617694031164</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15.5</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1</v>
      </c>
      <c r="M168" s="50">
        <f>IFERROR(IF(VLOOKUP(M$131,'Ввод исходных данных'!$C$127:$D$132,2,FALSE)&gt;0,1,0),0)</f>
        <v>1</v>
      </c>
      <c r="N168" s="50">
        <f>IFERROR(IF(VLOOKUP(N$131,'Ввод исходных данных'!$C$127:$D$132,2,FALSE)&gt;0,1,0),0)</f>
        <v>1</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121.32003798670466</v>
      </c>
      <c r="E169" s="50"/>
      <c r="F169" s="285"/>
      <c r="G169" s="470">
        <f>IF(G148&gt;=0.8*G167,$D$169,$D$171*$D$169)</f>
        <v>121.32003798670466</v>
      </c>
      <c r="H169" s="470">
        <f t="shared" ref="H169:R169" si="49">IF(H148&gt;=0.8*H167,$D$169,$D$171*$D$169)</f>
        <v>121.32003798670466</v>
      </c>
      <c r="I169" s="470">
        <f t="shared" si="49"/>
        <v>121.32003798670466</v>
      </c>
      <c r="J169" s="470">
        <f t="shared" si="49"/>
        <v>121.32003798670466</v>
      </c>
      <c r="K169" s="470">
        <f t="shared" si="49"/>
        <v>109.18803418803419</v>
      </c>
      <c r="L169" s="470">
        <f t="shared" si="49"/>
        <v>109.18803418803419</v>
      </c>
      <c r="M169" s="470">
        <f t="shared" si="49"/>
        <v>109.18803418803419</v>
      </c>
      <c r="N169" s="470">
        <f t="shared" si="49"/>
        <v>109.18803418803419</v>
      </c>
      <c r="O169" s="470">
        <f t="shared" si="49"/>
        <v>109.18803418803419</v>
      </c>
      <c r="P169" s="470">
        <f t="shared" si="49"/>
        <v>121.32003798670466</v>
      </c>
      <c r="Q169" s="470">
        <f t="shared" si="49"/>
        <v>121.32003798670466</v>
      </c>
      <c r="R169" s="470">
        <f t="shared" si="49"/>
        <v>121.32003798670466</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326</v>
      </c>
      <c r="E172" s="50">
        <f>SUM(G172:R172)</f>
        <v>326</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19</v>
      </c>
      <c r="M172" s="473">
        <f>M167-M168*IFERROR(VLOOKUP(M$131,'Ввод исходных данных'!$C$127:$D$132,2,FALSE),0)</f>
        <v>19</v>
      </c>
      <c r="N172" s="473">
        <f>N167-N168*IFERROR(VLOOKUP(N$131,'Ввод исходных данных'!$C$127:$D$132,2,FALSE),0)</f>
        <v>15</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1.304190408357075</v>
      </c>
      <c r="E173" s="50"/>
      <c r="F173" s="50"/>
      <c r="G173" s="474">
        <f>G169*'Ввод исходных данных'!$D$22/24/1000</f>
        <v>1.304190408357075</v>
      </c>
      <c r="H173" s="474">
        <f>H169*'Ввод исходных данных'!$D$22/24/1000</f>
        <v>1.304190408357075</v>
      </c>
      <c r="I173" s="474">
        <f>I169*'Ввод исходных данных'!$D$22/24/1000</f>
        <v>1.304190408357075</v>
      </c>
      <c r="J173" s="474">
        <f>J169*'Ввод исходных данных'!$D$22/24/1000</f>
        <v>1.304190408357075</v>
      </c>
      <c r="K173" s="474">
        <f>K169*'Ввод исходных данных'!$D$22/24/1000</f>
        <v>1.1737713675213677</v>
      </c>
      <c r="L173" s="474">
        <f>L169*'Ввод исходных данных'!$D$22/24/1000</f>
        <v>1.1737713675213677</v>
      </c>
      <c r="M173" s="474">
        <f>M169*'Ввод исходных данных'!$D$22/24/1000</f>
        <v>1.1737713675213677</v>
      </c>
      <c r="N173" s="474">
        <f>N169*'Ввод исходных данных'!$D$22/24/1000</f>
        <v>1.1737713675213677</v>
      </c>
      <c r="O173" s="474">
        <f>O169*'Ввод исходных данных'!$D$22/24/1000</f>
        <v>1.1737713675213677</v>
      </c>
      <c r="P173" s="474">
        <f>P169*'Ввод исходных данных'!$D$22/24/1000</f>
        <v>1.304190408357075</v>
      </c>
      <c r="Q173" s="474">
        <f>Q169*'Ввод исходных данных'!$D$22/24/1000</f>
        <v>1.304190408357075</v>
      </c>
      <c r="R173" s="474">
        <f>R169*'Ввод исходных данных'!$D$22/24/1000</f>
        <v>1.304190408357075</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5.7091179388423816</v>
      </c>
      <c r="E174" s="50">
        <f>D174*(60-5)*4.2/3.6*1.1</f>
        <v>402.96857451662476</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20.272662597604729</v>
      </c>
      <c r="E175" s="50">
        <f>E174*0.86/1000</f>
        <v>0.34655297408429725</v>
      </c>
      <c r="F175" s="50"/>
      <c r="G175" s="475">
        <f xml:space="preserve"> (G169*($D$176-IF(G148&gt;=0.8*G167,$D$177,списки!$C$61))*(1+$D$178)*1*$D$179)/(3.6*24*$D$180)</f>
        <v>20.272662597604729</v>
      </c>
      <c r="H175" s="475">
        <f xml:space="preserve"> (H169*($D$176-IF(H148&gt;=0.8*H167,$D$177,списки!$C$61))*(1+$D$178)*1*$D$179)/(3.6*24*$D$180)</f>
        <v>20.272662597604729</v>
      </c>
      <c r="I175" s="475">
        <f xml:space="preserve"> (I169*($D$176-IF(I148&gt;=0.8*I167,$D$177,списки!$C$61))*(1+$D$178)*1*$D$179)/(3.6*24*$D$180)</f>
        <v>20.272662597604729</v>
      </c>
      <c r="J175" s="475">
        <f xml:space="preserve"> (J169*($D$176-IF(J148&gt;=0.8*J167,$D$177,списки!$C$61))*(1+$D$178)*1*$D$179)/(3.6*24*$D$180)</f>
        <v>20.272662597604729</v>
      </c>
      <c r="K175" s="475">
        <f xml:space="preserve"> (K169*($D$176-IF(K148&gt;=0.8*K167,$D$177,списки!$C$61))*(1+$D$178)*1*$D$179)/(3.6*24*$D$180)</f>
        <v>14.928051549145302</v>
      </c>
      <c r="L175" s="475">
        <f xml:space="preserve"> (L169*($D$176-IF(L148&gt;=0.8*L167,$D$177,списки!$C$61))*(1+$D$178)*1*$D$179)/(3.6*24*$D$180)</f>
        <v>14.928051549145302</v>
      </c>
      <c r="M175" s="475">
        <f xml:space="preserve"> (M169*($D$176-IF(M148&gt;=0.8*M167,$D$177,списки!$C$61))*(1+$D$178)*1*$D$179)/(3.6*24*$D$180)</f>
        <v>14.928051549145302</v>
      </c>
      <c r="N175" s="475">
        <f xml:space="preserve"> (N169*($D$176-IF(N148&gt;=0.8*N167,$D$177,списки!$C$61))*(1+$D$178)*1*$D$179)/(3.6*24*$D$180)</f>
        <v>14.928051549145302</v>
      </c>
      <c r="O175" s="475">
        <f xml:space="preserve"> (O169*($D$176-IF(O148&gt;=0.8*O167,$D$177,списки!$C$61))*(1+$D$178)*1*$D$179)/(3.6*24*$D$180)</f>
        <v>14.928051549145302</v>
      </c>
      <c r="P175" s="475">
        <f xml:space="preserve"> (P169*($D$176-IF(P148&gt;=0.8*P167,$D$177,списки!$C$61))*(1+$D$178)*1*$D$179)/(3.6*24*$D$180)</f>
        <v>20.272662597604729</v>
      </c>
      <c r="Q175" s="475">
        <f xml:space="preserve"> (Q169*($D$176-IF(Q148&gt;=0.8*Q167,$D$177,списки!$C$61))*(1+$D$178)*1*$D$179)/(3.6*24*$D$180)</f>
        <v>20.272662597604729</v>
      </c>
      <c r="R175" s="475">
        <f xml:space="preserve"> (R169*($D$176-IF(R148&gt;=0.8*R167,$D$177,списки!$C$61))*(1+$D$178)*1*$D$179)/(3.6*24*$D$180)</f>
        <v>20.272662597604729</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0.25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29.325968992248065</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12.471015115307326</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19.547703278364327</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12.945794392523364</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0.86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80.36122231050409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306.71499084538993</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387.07621315589404</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3098.4072874037965</v>
      </c>
      <c r="E192" s="50"/>
      <c r="F192" s="50"/>
      <c r="G192" s="470">
        <f>0.024*$D$189*'Расчет базового уровня'!G$149*0.28</f>
        <v>567.51480929545085</v>
      </c>
      <c r="H192" s="470">
        <f>0.024*$D$189*'Расчет базового уровня'!H$149*0.28</f>
        <v>488.40079315520575</v>
      </c>
      <c r="I192" s="470">
        <f>0.024*$D$189*'Расчет базового уровня'!I$149*0.28</f>
        <v>410.15082087724329</v>
      </c>
      <c r="J192" s="470">
        <f>0.024*$D$189*'Расчет базового уровня'!J$149*0.28</f>
        <v>267.31356989366083</v>
      </c>
      <c r="K192" s="470">
        <f>0.024*$D$189*'Расчет базового уровня'!K$149*0.28</f>
        <v>32.995674990914502</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36.856871000489605</v>
      </c>
      <c r="P192" s="470">
        <f>0.024*$D$189*'Расчет базового уровня'!P$149*0.28</f>
        <v>296.31304202151858</v>
      </c>
      <c r="Q192" s="470">
        <f>0.024*$D$189*'Расчет базового уровня'!Q$149*0.28</f>
        <v>414.74105389561925</v>
      </c>
      <c r="R192" s="470">
        <f>0.024*$D$189*'Расчет базового уровня'!R$149*0.28</f>
        <v>523.98859973296794</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11825.703187034855</v>
      </c>
      <c r="E193" s="50"/>
      <c r="F193" s="50"/>
      <c r="G193" s="470">
        <f>0.024*$D$190*'Расчет базового уровня'!G$149*0.28</f>
        <v>2166.0359876697044</v>
      </c>
      <c r="H193" s="470">
        <f>0.024*$D$190*'Расчет базового уровня'!H$149*0.28</f>
        <v>1864.0812134822347</v>
      </c>
      <c r="I193" s="470">
        <f>0.024*$D$190*'Расчет базового уровня'!I$149*0.28</f>
        <v>1565.424238876335</v>
      </c>
      <c r="J193" s="470">
        <f>0.024*$D$190*'Расчет базового уровня'!J$149*0.28</f>
        <v>1020.2567455481052</v>
      </c>
      <c r="K193" s="470">
        <f>0.024*$D$190*'Расчет базового уровня'!K$149*0.28</f>
        <v>125.93472152119035</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140.67176340132966</v>
      </c>
      <c r="P193" s="470">
        <f>0.024*$D$190*'Расчет базового уровня'!P$149*0.28</f>
        <v>1130.9391440045358</v>
      </c>
      <c r="Q193" s="470">
        <f>0.024*$D$190*'Расчет базового уровня'!Q$149*0.28</f>
        <v>1582.9437991534237</v>
      </c>
      <c r="R193" s="470">
        <f>0.024*$D$190*'Расчет базового уровня'!R$149*0.28</f>
        <v>1999.9093337481345</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14924.11047443865</v>
      </c>
      <c r="E194" s="50"/>
      <c r="F194" s="50"/>
      <c r="G194" s="470">
        <f>0.024*$D$191*'Расчет базового уровня'!G$149*0.28</f>
        <v>2733.5507969651553</v>
      </c>
      <c r="H194" s="470">
        <f>0.024*$D$191*'Расчет базового уровня'!H$149*0.28</f>
        <v>2352.4820066374405</v>
      </c>
      <c r="I194" s="470">
        <f>0.024*$D$191*'Расчет базового уровня'!I$149*0.28</f>
        <v>1975.5750597535782</v>
      </c>
      <c r="J194" s="470">
        <f>0.024*$D$191*'Расчет базового уровня'!J$149*0.28</f>
        <v>1287.5703154417661</v>
      </c>
      <c r="K194" s="470">
        <f>0.024*$D$191*'Расчет базового уровня'!K$149*0.28</f>
        <v>158.93039651210486</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177.52863440181926</v>
      </c>
      <c r="P194" s="470">
        <f>0.024*$D$191*'Расчет базового уровня'!P$149*0.28</f>
        <v>1427.2521860260545</v>
      </c>
      <c r="Q194" s="470">
        <f>0.024*$D$191*'Расчет базового уровня'!Q$149*0.28</f>
        <v>1997.6848530490431</v>
      </c>
      <c r="R194" s="470">
        <f>0.024*$D$191*'Расчет базового уровня'!R$149*0.28</f>
        <v>2523.8979334811024</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R33:T33"/>
    <mergeCell ref="O33:Q33"/>
    <mergeCell ref="L33:N33"/>
    <mergeCell ref="I33:K33"/>
    <mergeCell ref="S83:T83"/>
    <mergeCell ref="Q83:R83"/>
    <mergeCell ref="O83:P83"/>
    <mergeCell ref="M83:N83"/>
    <mergeCell ref="K83:L83"/>
    <mergeCell ref="S98:T98"/>
    <mergeCell ref="Q98:R98"/>
    <mergeCell ref="O98:P98"/>
    <mergeCell ref="M98:N98"/>
    <mergeCell ref="K98:L98"/>
    <mergeCell ref="U98:V98"/>
    <mergeCell ref="AE98:AF98"/>
    <mergeCell ref="W98:X98"/>
    <mergeCell ref="U83:V83"/>
    <mergeCell ref="W83:X83"/>
    <mergeCell ref="Y83:Z83"/>
    <mergeCell ref="AA83:AB83"/>
    <mergeCell ref="AC83:AD83"/>
    <mergeCell ref="AE83:AF83"/>
    <mergeCell ref="Y98:Z98"/>
    <mergeCell ref="AA98:AB98"/>
    <mergeCell ref="AC98:AD98"/>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M4:AO4"/>
    <mergeCell ref="AP4:AR4"/>
    <mergeCell ref="A32:D32"/>
    <mergeCell ref="R4:T4"/>
    <mergeCell ref="U4:W4"/>
    <mergeCell ref="X4:Z4"/>
    <mergeCell ref="AA4:AC4"/>
    <mergeCell ref="AD4:AF4"/>
    <mergeCell ref="AG4:AI4"/>
    <mergeCell ref="O4:Q4"/>
    <mergeCell ref="L4:N4"/>
    <mergeCell ref="I4:K4"/>
    <mergeCell ref="H4:H5"/>
    <mergeCell ref="G4:G5"/>
    <mergeCell ref="A3:E3"/>
    <mergeCell ref="A4:A5"/>
    <mergeCell ref="B4:B5"/>
    <mergeCell ref="C4:C5"/>
    <mergeCell ref="D4:D5"/>
    <mergeCell ref="E4:E5"/>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2020-04-20T04:59:50Z</cp:lastPrinted>
  <dcterms:created xsi:type="dcterms:W3CDTF">2016-10-10T08:58:27Z</dcterms:created>
  <dcterms:modified xsi:type="dcterms:W3CDTF">2021-07-16T09:38:39Z</dcterms:modified>
  <cp:category>Приложение</cp:category>
</cp:coreProperties>
</file>